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61.xml" ContentType="application/vnd.openxmlformats-officedocument.spreadsheetml.table+xml"/>
  <Override PartName="/xl/drawings/drawing4.xml" ContentType="application/vnd.openxmlformats-officedocument.drawing+xml"/>
  <Override PartName="/xl/tables/table62.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Ex3.xml" ContentType="application/vnd.ms-office.chartex+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harts/chart2.xml" ContentType="application/vnd.openxmlformats-officedocument.drawingml.chart+xml"/>
  <Override PartName="/xl/charts/style5.xml" ContentType="application/vnd.ms-office.chartstyle+xml"/>
  <Override PartName="/xl/charts/colors5.xml" ContentType="application/vnd.ms-office.chartcolorstyle+xml"/>
  <Override PartName="/xl/charts/chart3.xml" ContentType="application/vnd.openxmlformats-officedocument.drawingml.chart+xml"/>
  <Override PartName="/xl/charts/style6.xml" ContentType="application/vnd.ms-office.chartstyle+xml"/>
  <Override PartName="/xl/charts/colors6.xml" ContentType="application/vnd.ms-office.chartcolorstyle+xml"/>
  <Override PartName="/xl/charts/chartEx4.xml" ContentType="application/vnd.ms-office.chartex+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digiplace.sharepoint.com/sites/WICCYBERSUSTAINABILITY/Documents partages/07 - Methodo v2/"/>
    </mc:Choice>
  </mc:AlternateContent>
  <xr:revisionPtr revIDLastSave="3750" documentId="8_{4825FB88-3535-4FA5-AF86-0AAB1D75B5E1}" xr6:coauthVersionLast="47" xr6:coauthVersionMax="47" xr10:uidLastSave="{99EE3027-507C-4433-8C51-B2AB3E5E7AFC}"/>
  <bookViews>
    <workbookView xWindow="-110" yWindow="-110" windowWidth="19420" windowHeight="10420" tabRatio="823" firstSheet="23" activeTab="23" xr2:uid="{9957C4CC-C9BD-428F-9F2E-2F595D49C2B6}"/>
  </bookViews>
  <sheets>
    <sheet name="0.0 Methodology Presentation" sheetId="76" r:id="rId1"/>
    <sheet name="0.1 Referential" sheetId="97" r:id="rId2"/>
    <sheet name="0.2 READ ME" sheetId="101" r:id="rId3"/>
    <sheet name="1.0 Staff Location" sheetId="24" r:id="rId4"/>
    <sheet name="1.1 Cyber devices" sheetId="22" r:id="rId5"/>
    <sheet name="1.2 Network" sheetId="83" r:id="rId6"/>
    <sheet name="1.3 Backup servers" sheetId="78" r:id="rId7"/>
    <sheet name="1.4 Cyber software infra" sheetId="84" r:id="rId8"/>
    <sheet name="1.5 External services" sheetId="75" r:id="rId9"/>
    <sheet name="1.6 Travel" sheetId="85" r:id="rId10"/>
    <sheet name="1.7 Non-cyber equipments" sheetId="102" r:id="rId11"/>
    <sheet name="2.1 Mapping Devices" sheetId="92" r:id="rId12"/>
    <sheet name="2.2 Mapping Network" sheetId="94" r:id="rId13"/>
    <sheet name="2.3 Mapping Backup Servers" sheetId="87" r:id="rId14"/>
    <sheet name="2.4 Mapping CyberSoftware Infra" sheetId="67" r:id="rId15"/>
    <sheet name="2.5 Mapping External services" sheetId="72" r:id="rId16"/>
    <sheet name="2.6 Mapping Travel" sheetId="90" r:id="rId17"/>
    <sheet name="2.7 Mapping Non Cyber" sheetId="103" r:id="rId18"/>
    <sheet name="3.1 Electricity mix" sheetId="13" r:id="rId19"/>
    <sheet name="3.2 Emission Factors" sheetId="71" r:id="rId20"/>
    <sheet name="3.3 Assumptions" sheetId="41" r:id="rId21"/>
    <sheet name="4.1 Dashboard_Control" sheetId="32" r:id="rId22"/>
    <sheet name="4.2 Dashboard_Topic" sheetId="98" r:id="rId23"/>
    <sheet name="4.3 Dashboard_Category" sheetId="100" r:id="rId24"/>
    <sheet name="5.1 Action Plan" sheetId="53" r:id="rId25"/>
  </sheets>
  <externalReferences>
    <externalReference r:id="rId26"/>
  </externalReferences>
  <definedNames>
    <definedName name="_xlnm._FilterDatabase" localSheetId="4" hidden="1">'1.1 Cyber devices'!$B$14:$D$17</definedName>
    <definedName name="_xlnm._FilterDatabase" localSheetId="5" hidden="1">'1.2 Network'!$B$14:$E$17</definedName>
    <definedName name="_xlnm._FilterDatabase" localSheetId="11" hidden="1">'2.1 Mapping Devices'!$B$33:$D$36</definedName>
    <definedName name="_xlnm._FilterDatabase" localSheetId="12" hidden="1">'2.2 Mapping Network'!$B$33:$D$36</definedName>
    <definedName name="_xlnm._FilterDatabase" localSheetId="17" hidden="1">'2.7 Mapping Non Cyber'!$B$33:$D$38</definedName>
    <definedName name="_xlnm._FilterDatabase" localSheetId="21" hidden="1">'4.1 Dashboard_Control'!$B$20:$E$90</definedName>
    <definedName name="_xlchart.v1.0" hidden="1">'4.1 Dashboard_Control'!$A$21:$B$90</definedName>
    <definedName name="_xlchart.v1.1" hidden="1">'4.1 Dashboard_Control'!$D$20</definedName>
    <definedName name="_xlchart.v1.10" hidden="1">'4.3 Dashboard_Category'!$C$22</definedName>
    <definedName name="_xlchart.v1.11" hidden="1">'4.3 Dashboard_Category'!$C$23:$C$42</definedName>
    <definedName name="_xlchart.v1.2" hidden="1">'4.1 Dashboard_Control'!$D$21:$D$90</definedName>
    <definedName name="_xlchart.v1.3" hidden="1">'4.2 Dashboard_Topic'!$A$43:$B$140</definedName>
    <definedName name="_xlchart.v1.4" hidden="1">'4.2 Dashboard_Topic'!$C$42</definedName>
    <definedName name="_xlchart.v1.5" hidden="1">'4.2 Dashboard_Topic'!$C$43:$C$140</definedName>
    <definedName name="_xlchart.v1.6" hidden="1">'4.2 Dashboard_Topic'!$A$144:$B$241</definedName>
    <definedName name="_xlchart.v1.7" hidden="1">'4.2 Dashboard_Topic'!$C$143</definedName>
    <definedName name="_xlchart.v1.8" hidden="1">'4.2 Dashboard_Topic'!$C$144:$C$241</definedName>
    <definedName name="_xlchart.v1.9" hidden="1">'4.3 Dashboard_Category'!$A$23:$B$42</definedName>
    <definedName name="AppDesc" localSheetId="2">#REF!</definedName>
    <definedName name="AppDesc" localSheetId="6">#REF!</definedName>
    <definedName name="AppDesc" localSheetId="7">#REF!</definedName>
    <definedName name="AppDesc" localSheetId="10">#REF!</definedName>
    <definedName name="CI_Cyber_Staff" localSheetId="2">'[1]1.1 Staff Location'!#REF!</definedName>
    <definedName name="CI_Cyber_Staff">'1.0 Staff Location'!$D$13</definedName>
    <definedName name="CI_Group_Staff" localSheetId="2">'[1]1.1 Staff Location'!#REF!</definedName>
    <definedName name="CI_Group_Staff">'1.0 Staff Location'!$D$12</definedName>
    <definedName name="CI_ITG_Servers" localSheetId="2">#REF!</definedName>
    <definedName name="CI_ITG_Servers" localSheetId="6">#REF!</definedName>
    <definedName name="CI_ITG_Servers" localSheetId="7">#REF!</definedName>
    <definedName name="CI_ITG_Servers" localSheetId="10">#REF!</definedName>
    <definedName name="CI_Servers_Cyber" localSheetId="2">#REF!</definedName>
    <definedName name="CI_Servers_Cyber">#REF!</definedName>
    <definedName name="CI_Servers_Resilience" localSheetId="2">#REF!</definedName>
    <definedName name="CI_Servers_Resilience">#REF!</definedName>
    <definedName name="Countries" localSheetId="2">#REF!</definedName>
    <definedName name="Countries" localSheetId="6">#REF!</definedName>
    <definedName name="Countries" localSheetId="7">#REF!</definedName>
    <definedName name="Countries" localSheetId="10">#REF!</definedName>
    <definedName name="DC_PUE" localSheetId="2">'[1]1.3 Devices'!#REF!</definedName>
    <definedName name="DC_PUE" localSheetId="5">'1.2 Network'!#REF!</definedName>
    <definedName name="DC_PUE" localSheetId="6">#REF!</definedName>
    <definedName name="DC_PUE" localSheetId="7">#REF!</definedName>
    <definedName name="DC_PUE" localSheetId="10">#REF!</definedName>
    <definedName name="DC_PUE" localSheetId="11">'2.1 Mapping Devices'!#REF!</definedName>
    <definedName name="DC_PUE" localSheetId="12">'2.2 Mapping Network'!#REF!</definedName>
    <definedName name="DC_PUE" localSheetId="17">'2.7 Mapping Non Cyber'!#REF!</definedName>
    <definedName name="DC_Servers_Lifetime" localSheetId="2">'[1]1.3 Devices'!#REF!</definedName>
    <definedName name="DC_Servers_Lifetime" localSheetId="5">'1.2 Network'!#REF!</definedName>
    <definedName name="DC_Servers_Lifetime" localSheetId="6">#REF!</definedName>
    <definedName name="DC_Servers_Lifetime" localSheetId="7">#REF!</definedName>
    <definedName name="DC_Servers_Lifetime" localSheetId="10">#REF!</definedName>
    <definedName name="DC_Servers_Lifetime" localSheetId="11">'2.1 Mapping Devices'!#REF!</definedName>
    <definedName name="DC_Servers_Lifetime" localSheetId="12">'2.2 Mapping Network'!#REF!</definedName>
    <definedName name="DC_Servers_Lifetime" localSheetId="17">'2.7 Mapping Non Cyber'!#REF!</definedName>
    <definedName name="EF_ITG_Servers" localSheetId="2">#REF!</definedName>
    <definedName name="EF_ITG_Servers" localSheetId="6">#REF!</definedName>
    <definedName name="EF_ITG_Servers" localSheetId="7">#REF!</definedName>
    <definedName name="EF_ITG_Servers" localSheetId="10">#REF!</definedName>
    <definedName name="EF_Servers" localSheetId="2">#REF!</definedName>
    <definedName name="EF_Servers" localSheetId="6">#REF!</definedName>
    <definedName name="EF_Servers" localSheetId="7">#REF!</definedName>
    <definedName name="EF_Servers" localSheetId="10">#REF!</definedName>
    <definedName name="Fabrication_GES_Ecrans" localSheetId="2">#REF!</definedName>
    <definedName name="Fabrication_GES_Ecrans" localSheetId="6">#REF!</definedName>
    <definedName name="Fabrication_GES_Ecrans" localSheetId="7">#REF!</definedName>
    <definedName name="Fabrication_GES_Ecrans" localSheetId="10">#REF!</definedName>
    <definedName name="Fabrication_GES_Firewall" localSheetId="2">#REF!</definedName>
    <definedName name="Fabrication_GES_Firewall" localSheetId="6">#REF!</definedName>
    <definedName name="Fabrication_GES_Firewall" localSheetId="7">#REF!</definedName>
    <definedName name="Fabrication_GES_Firewall" localSheetId="10">#REF!</definedName>
    <definedName name="Fabrication_GES_Firewall_V2" localSheetId="2">#REF!</definedName>
    <definedName name="Fabrication_GES_Firewall_V2" localSheetId="6">#REF!</definedName>
    <definedName name="Fabrication_GES_Firewall_V2" localSheetId="7">#REF!</definedName>
    <definedName name="Fabrication_GES_Firewall_V2" localSheetId="10">#REF!</definedName>
    <definedName name="Fabrication_GES_GES_Serveurs_Boavizta" localSheetId="2">#REF!</definedName>
    <definedName name="Fabrication_GES_GES_Serveurs_Boavizta" localSheetId="6">#REF!</definedName>
    <definedName name="Fabrication_GES_GES_Serveurs_Boavizta" localSheetId="7">#REF!</definedName>
    <definedName name="Fabrication_GES_GES_Serveurs_Boavizta" localSheetId="10">#REF!</definedName>
    <definedName name="Fabrication_GES_Imprimantes" localSheetId="2">#REF!</definedName>
    <definedName name="Fabrication_GES_Imprimantes" localSheetId="6">#REF!</definedName>
    <definedName name="Fabrication_GES_Imprimantes" localSheetId="7">#REF!</definedName>
    <definedName name="Fabrication_GES_Imprimantes" localSheetId="10">#REF!</definedName>
    <definedName name="Fabrication_GES_Laptop" localSheetId="2">#REF!</definedName>
    <definedName name="Fabrication_GES_Laptop" localSheetId="6">#REF!</definedName>
    <definedName name="Fabrication_GES_Laptop" localSheetId="7">#REF!</definedName>
    <definedName name="Fabrication_GES_Laptop" localSheetId="10">#REF!</definedName>
    <definedName name="Fabrication_GES_PC" localSheetId="2">#REF!</definedName>
    <definedName name="Fabrication_GES_PC" localSheetId="6">#REF!</definedName>
    <definedName name="Fabrication_GES_PC" localSheetId="7">#REF!</definedName>
    <definedName name="Fabrication_GES_PC" localSheetId="10">#REF!</definedName>
    <definedName name="Fabrication_GES_Projection" localSheetId="2">#REF!</definedName>
    <definedName name="Fabrication_GES_Projection" localSheetId="6">#REF!</definedName>
    <definedName name="Fabrication_GES_Projection" localSheetId="7">#REF!</definedName>
    <definedName name="Fabrication_GES_Projection" localSheetId="10">#REF!</definedName>
    <definedName name="Fabrication_GES_Routeurs" localSheetId="2">#REF!</definedName>
    <definedName name="Fabrication_GES_Routeurs" localSheetId="6">#REF!</definedName>
    <definedName name="Fabrication_GES_Routeurs" localSheetId="7">#REF!</definedName>
    <definedName name="Fabrication_GES_Routeurs" localSheetId="10">#REF!</definedName>
    <definedName name="Fabrication_GES_Routeurs_V2" localSheetId="2">#REF!</definedName>
    <definedName name="Fabrication_GES_Routeurs_V2" localSheetId="6">#REF!</definedName>
    <definedName name="Fabrication_GES_Routeurs_V2" localSheetId="7">#REF!</definedName>
    <definedName name="Fabrication_GES_Routeurs_V2" localSheetId="10">#REF!</definedName>
    <definedName name="Fabrication_GES_Serveurs" localSheetId="2">#REF!</definedName>
    <definedName name="Fabrication_GES_Serveurs" localSheetId="6">#REF!</definedName>
    <definedName name="Fabrication_GES_Serveurs" localSheetId="7">#REF!</definedName>
    <definedName name="Fabrication_GES_Serveurs" localSheetId="10">#REF!</definedName>
    <definedName name="Fabrication_GES_Switchs" localSheetId="2">#REF!</definedName>
    <definedName name="Fabrication_GES_Switchs" localSheetId="6">#REF!</definedName>
    <definedName name="Fabrication_GES_Switchs" localSheetId="7">#REF!</definedName>
    <definedName name="Fabrication_GES_Switchs" localSheetId="10">#REF!</definedName>
    <definedName name="Fabrication_GES_Switchs_V2" localSheetId="2">#REF!</definedName>
    <definedName name="Fabrication_GES_Switchs_V2" localSheetId="6">#REF!</definedName>
    <definedName name="Fabrication_GES_Switchs_V2" localSheetId="7">#REF!</definedName>
    <definedName name="Fabrication_GES_Switchs_V2" localSheetId="10">#REF!</definedName>
    <definedName name="Fabrication_GES_Tablettes" localSheetId="2">#REF!</definedName>
    <definedName name="Fabrication_GES_Tablettes" localSheetId="6">#REF!</definedName>
    <definedName name="Fabrication_GES_Tablettes" localSheetId="7">#REF!</definedName>
    <definedName name="Fabrication_GES_Tablettes" localSheetId="10">#REF!</definedName>
    <definedName name="Fabrication_GES_Téléphones_fixes" localSheetId="2">#REF!</definedName>
    <definedName name="Fabrication_GES_Téléphones_fixes" localSheetId="6">#REF!</definedName>
    <definedName name="Fabrication_GES_Téléphones_fixes" localSheetId="7">#REF!</definedName>
    <definedName name="Fabrication_GES_Téléphones_fixes" localSheetId="10">#REF!</definedName>
    <definedName name="Fabrication_GES_Téléphonie" localSheetId="2">#REF!</definedName>
    <definedName name="Fabrication_GES_Téléphonie" localSheetId="6">#REF!</definedName>
    <definedName name="Fabrication_GES_Téléphonie" localSheetId="7">#REF!</definedName>
    <definedName name="Fabrication_GES_Téléphonie" localSheetId="10">#REF!</definedName>
    <definedName name="Fabrication_GES_Televiseurs" localSheetId="2">#REF!</definedName>
    <definedName name="Fabrication_GES_Televiseurs" localSheetId="6">#REF!</definedName>
    <definedName name="Fabrication_GES_Televiseurs" localSheetId="7">#REF!</definedName>
    <definedName name="Fabrication_GES_Televiseurs" localSheetId="10">#REF!</definedName>
    <definedName name="Fabrication_GES_Visioconférence" localSheetId="2">#REF!</definedName>
    <definedName name="Fabrication_GES_Visioconférence" localSheetId="6">#REF!</definedName>
    <definedName name="Fabrication_GES_Visioconférence" localSheetId="7">#REF!</definedName>
    <definedName name="Fabrication_GES_Visioconférence" localSheetId="10">#REF!</definedName>
    <definedName name="Fabrication_GES_Wifi" localSheetId="2">#REF!</definedName>
    <definedName name="Fabrication_GES_Wifi" localSheetId="6">#REF!</definedName>
    <definedName name="Fabrication_GES_Wifi" localSheetId="7">#REF!</definedName>
    <definedName name="Fabrication_GES_Wifi" localSheetId="10">#REF!</definedName>
    <definedName name="Fabrication_GES_Wifi_V2" localSheetId="2">#REF!</definedName>
    <definedName name="Fabrication_GES_Wifi_V2" localSheetId="6">#REF!</definedName>
    <definedName name="Fabrication_GES_Wifi_V2" localSheetId="7">#REF!</definedName>
    <definedName name="Fabrication_GES_Wifi_V2" localSheetId="10">#REF!</definedName>
    <definedName name="FE_Data_Center" localSheetId="2">#REF!</definedName>
    <definedName name="FE_Data_Center" localSheetId="6">#REF!</definedName>
    <definedName name="FE_Data_Center" localSheetId="7">#REF!</definedName>
    <definedName name="FE_Data_Center" localSheetId="10">#REF!</definedName>
    <definedName name="FE_Data_Center" localSheetId="19">'3.2 Emission Factors'!$C$46:$C$48</definedName>
    <definedName name="FE_Ecrans_bureautiques" localSheetId="2">#REF!</definedName>
    <definedName name="FE_Ecrans_bureautiques" localSheetId="6">#REF!</definedName>
    <definedName name="FE_Ecrans_bureautiques" localSheetId="7">#REF!</definedName>
    <definedName name="FE_Ecrans_bureautiques" localSheetId="10">#REF!</definedName>
    <definedName name="FE_Ecrans_bureautiques" localSheetId="18">#REF!</definedName>
    <definedName name="FE_Ecrans_bureautiques" localSheetId="19">'3.2 Emission Factors'!$C$34:$C$34</definedName>
    <definedName name="FE_Firewalls" localSheetId="2">#REF!</definedName>
    <definedName name="FE_Firewalls" localSheetId="6">#REF!</definedName>
    <definedName name="FE_Firewalls" localSheetId="7">#REF!</definedName>
    <definedName name="FE_Firewalls" localSheetId="10">#REF!</definedName>
    <definedName name="FE_Firewalls" localSheetId="18">#REF!</definedName>
    <definedName name="FE_Firewalls" localSheetId="19">'3.2 Emission Factors'!$C$74</definedName>
    <definedName name="FE_Imprimantes" localSheetId="2">#REF!</definedName>
    <definedName name="FE_Imprimantes" localSheetId="6">#REF!</definedName>
    <definedName name="FE_Imprimantes" localSheetId="7">#REF!</definedName>
    <definedName name="FE_Imprimantes" localSheetId="10">#REF!</definedName>
    <definedName name="FE_Imprimantes" localSheetId="18">#REF!</definedName>
    <definedName name="FE_Imprimantes" localSheetId="19">#REF!</definedName>
    <definedName name="FE_Ordinateurs_fixes" localSheetId="2">#REF!</definedName>
    <definedName name="FE_Ordinateurs_fixes" localSheetId="6">#REF!</definedName>
    <definedName name="FE_Ordinateurs_fixes" localSheetId="7">#REF!</definedName>
    <definedName name="FE_Ordinateurs_fixes" localSheetId="10">#REF!</definedName>
    <definedName name="FE_Ordinateurs_fixes" localSheetId="19">'3.2 Emission Factors'!#REF!</definedName>
    <definedName name="FE_Ordinateurs_portables" localSheetId="2">#REF!</definedName>
    <definedName name="FE_Ordinateurs_portables" localSheetId="6">#REF!</definedName>
    <definedName name="FE_Ordinateurs_portables" localSheetId="7">#REF!</definedName>
    <definedName name="FE_Ordinateurs_portables" localSheetId="10">#REF!</definedName>
    <definedName name="FE_Ordinateurs_portables" localSheetId="19">'3.2 Emission Factors'!$C$8:$C$10</definedName>
    <definedName name="FE_Projection" localSheetId="2">#REF!</definedName>
    <definedName name="FE_Projection" localSheetId="6">#REF!</definedName>
    <definedName name="FE_Projection" localSheetId="7">#REF!</definedName>
    <definedName name="FE_Projection" localSheetId="10">#REF!</definedName>
    <definedName name="FE_Projection" localSheetId="19">'3.2 Emission Factors'!#REF!</definedName>
    <definedName name="FE_Ratios_monétaires" localSheetId="2">#REF!</definedName>
    <definedName name="FE_Ratios_monétaires" localSheetId="6">#REF!</definedName>
    <definedName name="FE_Ratios_monétaires" localSheetId="7">#REF!</definedName>
    <definedName name="FE_Ratios_monétaires" localSheetId="10">#REF!</definedName>
    <definedName name="FE_Ratios_monétaires" localSheetId="19">#REF!</definedName>
    <definedName name="FE_Réseau" localSheetId="2">#REF!</definedName>
    <definedName name="FE_Réseau" localSheetId="6">#REF!</definedName>
    <definedName name="FE_Réseau" localSheetId="7">#REF!</definedName>
    <definedName name="FE_Réseau" localSheetId="10">#REF!</definedName>
    <definedName name="FE_Réseau" localSheetId="19">'3.2 Emission Factors'!$C$74:$C$75</definedName>
    <definedName name="FE_Routeurs" localSheetId="2">#REF!</definedName>
    <definedName name="FE_Routeurs" localSheetId="6">#REF!</definedName>
    <definedName name="FE_Routeurs" localSheetId="7">#REF!</definedName>
    <definedName name="FE_Routeurs" localSheetId="10">#REF!</definedName>
    <definedName name="FE_Routeurs" localSheetId="18">#REF!</definedName>
    <definedName name="FE_Routeurs" localSheetId="19">'3.2 Emission Factors'!#REF!</definedName>
    <definedName name="FE_Serveurs" localSheetId="2">#REF!</definedName>
    <definedName name="FE_Serveurs" localSheetId="6">#REF!</definedName>
    <definedName name="FE_Serveurs" localSheetId="7">#REF!</definedName>
    <definedName name="FE_Serveurs" localSheetId="10">#REF!</definedName>
    <definedName name="FE_Serveurs" localSheetId="18">#REF!</definedName>
    <definedName name="FE_Serveurs" localSheetId="19">'3.2 Emission Factors'!$C$46:$C$48</definedName>
    <definedName name="FE_Switchs" localSheetId="2">#REF!</definedName>
    <definedName name="FE_Switchs" localSheetId="6">#REF!</definedName>
    <definedName name="FE_Switchs" localSheetId="7">#REF!</definedName>
    <definedName name="FE_Switchs" localSheetId="10">#REF!</definedName>
    <definedName name="FE_Switchs" localSheetId="19">'3.2 Emission Factors'!#REF!</definedName>
    <definedName name="FE_Tablettes" localSheetId="2">#REF!</definedName>
    <definedName name="FE_Tablettes" localSheetId="6">#REF!</definedName>
    <definedName name="FE_Tablettes" localSheetId="7">#REF!</definedName>
    <definedName name="FE_Tablettes" localSheetId="10">#REF!</definedName>
    <definedName name="FE_Tablettes" localSheetId="19">'3.2 Emission Factors'!$C$22:$C$22</definedName>
    <definedName name="FE_Téléphones" localSheetId="2">#REF!</definedName>
    <definedName name="FE_Téléphones" localSheetId="6">#REF!</definedName>
    <definedName name="FE_Téléphones" localSheetId="7">#REF!</definedName>
    <definedName name="FE_Téléphones" localSheetId="10">#REF!</definedName>
    <definedName name="FE_Téléphones" localSheetId="19">'3.2 Emission Factors'!$C$27:$C$28</definedName>
    <definedName name="FE_Wifi" localSheetId="2">#REF!</definedName>
    <definedName name="FE_Wifi" localSheetId="6">#REF!</definedName>
    <definedName name="FE_Wifi" localSheetId="7">#REF!</definedName>
    <definedName name="FE_Wifi" localSheetId="10">#REF!</definedName>
    <definedName name="FE_Wifi" localSheetId="18">#REF!</definedName>
    <definedName name="FE_Wifi" localSheetId="19">'3.2 Emission Factors'!$C$75</definedName>
    <definedName name="Mapping_Apps_Controls" localSheetId="15">'2.5 Mapping External services'!$B:$C</definedName>
    <definedName name="Mapping_Apps_Controls">'2.4 Mapping CyberSoftware Infra'!$B:$B</definedName>
    <definedName name="Modélisation_Ecrans_Amont" localSheetId="2">#REF!</definedName>
    <definedName name="Modélisation_Ecrans_Amont" localSheetId="6">#REF!</definedName>
    <definedName name="Modélisation_Ecrans_Amont" localSheetId="7">#REF!</definedName>
    <definedName name="Modélisation_Ecrans_Amont" localSheetId="10">#REF!</definedName>
    <definedName name="Modélisation_Ecrans_Amont" localSheetId="18">#REF!</definedName>
    <definedName name="Modélisation_Ecrans_Amont" localSheetId="19">#REF!</definedName>
    <definedName name="Modélisation_Ecrans_Lifetime" localSheetId="2">#REF!</definedName>
    <definedName name="Modélisation_Ecrans_Lifetime" localSheetId="6">#REF!</definedName>
    <definedName name="Modélisation_Ecrans_Lifetime" localSheetId="7">#REF!</definedName>
    <definedName name="Modélisation_Ecrans_Lifetime" localSheetId="10">#REF!</definedName>
    <definedName name="Modélisation_Ecrans_TEC" localSheetId="2">#REF!</definedName>
    <definedName name="Modélisation_Ecrans_TEC" localSheetId="6">#REF!</definedName>
    <definedName name="Modélisation_Ecrans_TEC" localSheetId="7">#REF!</definedName>
    <definedName name="Modélisation_Ecrans_TEC" localSheetId="10">#REF!</definedName>
    <definedName name="Modélisation_Ecrans_TEC" localSheetId="18">#REF!</definedName>
    <definedName name="Modélisation_Ecrans_TEC" localSheetId="19">#REF!</definedName>
    <definedName name="Modélisation_Laptop_Amont" localSheetId="2">#REF!</definedName>
    <definedName name="Modélisation_Laptop_Amont" localSheetId="6">#REF!</definedName>
    <definedName name="Modélisation_Laptop_Amont" localSheetId="7">#REF!</definedName>
    <definedName name="Modélisation_Laptop_Amont" localSheetId="10">#REF!</definedName>
    <definedName name="Modélisation_Laptop_Amont" localSheetId="18">#REF!</definedName>
    <definedName name="Modélisation_Laptop_Amont" localSheetId="19">#REF!</definedName>
    <definedName name="Modélisation_Laptop_Lifetime" localSheetId="2">#REF!</definedName>
    <definedName name="Modélisation_Laptop_Lifetime" localSheetId="6">#REF!</definedName>
    <definedName name="Modélisation_Laptop_Lifetime" localSheetId="7">#REF!</definedName>
    <definedName name="Modélisation_Laptop_Lifetime" localSheetId="10">#REF!</definedName>
    <definedName name="Modélisation_Laptop_TEC" localSheetId="2">#REF!</definedName>
    <definedName name="Modélisation_Laptop_TEC" localSheetId="6">#REF!</definedName>
    <definedName name="Modélisation_Laptop_TEC" localSheetId="7">#REF!</definedName>
    <definedName name="Modélisation_Laptop_TEC" localSheetId="10">#REF!</definedName>
    <definedName name="Modélisation_Laptop_TEC" localSheetId="18">#REF!</definedName>
    <definedName name="Modélisation_Laptop_TEC" localSheetId="19">#REF!</definedName>
    <definedName name="Modélisation_PC_Amont" localSheetId="2">#REF!</definedName>
    <definedName name="Modélisation_PC_Amont" localSheetId="6">#REF!</definedName>
    <definedName name="Modélisation_PC_Amont" localSheetId="7">#REF!</definedName>
    <definedName name="Modélisation_PC_Amont" localSheetId="10">#REF!</definedName>
    <definedName name="Modélisation_PC_Amont" localSheetId="18">#REF!</definedName>
    <definedName name="Modélisation_PC_Amont" localSheetId="19">#REF!</definedName>
    <definedName name="Modélisation_PC_Lifetime" localSheetId="2">#REF!</definedName>
    <definedName name="Modélisation_PC_Lifetime" localSheetId="6">#REF!</definedName>
    <definedName name="Modélisation_PC_Lifetime" localSheetId="7">#REF!</definedName>
    <definedName name="Modélisation_PC_Lifetime" localSheetId="10">#REF!</definedName>
    <definedName name="Modélisation_PC_TEC" localSheetId="2">#REF!</definedName>
    <definedName name="Modélisation_PC_TEC" localSheetId="6">#REF!</definedName>
    <definedName name="Modélisation_PC_TEC" localSheetId="7">#REF!</definedName>
    <definedName name="Modélisation_PC_TEC" localSheetId="10">#REF!</definedName>
    <definedName name="Modélisation_PC_TEC" localSheetId="18">#REF!</definedName>
    <definedName name="Modélisation_PC_TEC" localSheetId="19">#REF!</definedName>
    <definedName name="Modélisation_Print_Multifonctions_Amont" localSheetId="2">#REF!</definedName>
    <definedName name="Modélisation_Print_Multifonctions_Amont" localSheetId="6">#REF!</definedName>
    <definedName name="Modélisation_Print_Multifonctions_Amont" localSheetId="7">#REF!</definedName>
    <definedName name="Modélisation_Print_Multifonctions_Amont" localSheetId="10">#REF!</definedName>
    <definedName name="Modélisation_Print_Multifonctions_Amont" localSheetId="18">#REF!</definedName>
    <definedName name="Modélisation_Print_Multifonctions_Amont" localSheetId="19">#REF!</definedName>
    <definedName name="Modélisation_Print_Multifonctions_Lifetime" localSheetId="2">#REF!</definedName>
    <definedName name="Modélisation_Print_Multifonctions_Lifetime" localSheetId="6">#REF!</definedName>
    <definedName name="Modélisation_Print_Multifonctions_Lifetime" localSheetId="7">#REF!</definedName>
    <definedName name="Modélisation_Print_Multifonctions_Lifetime" localSheetId="10">#REF!</definedName>
    <definedName name="Modélisation_Print_Multifonctions_TEC" localSheetId="2">#REF!</definedName>
    <definedName name="Modélisation_Print_Multifonctions_TEC" localSheetId="6">#REF!</definedName>
    <definedName name="Modélisation_Print_Multifonctions_TEC" localSheetId="7">#REF!</definedName>
    <definedName name="Modélisation_Print_Multifonctions_TEC" localSheetId="10">#REF!</definedName>
    <definedName name="Modélisation_Print_Multifonctions_TEC" localSheetId="18">#REF!</definedName>
    <definedName name="Modélisation_Print_Multifonctions_TEC" localSheetId="19">#REF!</definedName>
    <definedName name="Modélisation_Routeur_Amont" localSheetId="2">#REF!</definedName>
    <definedName name="Modélisation_Routeur_Amont" localSheetId="6">#REF!</definedName>
    <definedName name="Modélisation_Routeur_Amont" localSheetId="7">#REF!</definedName>
    <definedName name="Modélisation_Routeur_Amont" localSheetId="10">#REF!</definedName>
    <definedName name="Modélisation_Routeur_Amont" localSheetId="18">#REF!</definedName>
    <definedName name="Modélisation_Routeur_Amont" localSheetId="19">#REF!</definedName>
    <definedName name="Modélisation_Routeur_Lifetime" localSheetId="2">#REF!</definedName>
    <definedName name="Modélisation_Routeur_Lifetime" localSheetId="6">#REF!</definedName>
    <definedName name="Modélisation_Routeur_Lifetime" localSheetId="7">#REF!</definedName>
    <definedName name="Modélisation_Routeur_Lifetime" localSheetId="10">#REF!</definedName>
    <definedName name="Modélisation_Routeur_TEC" localSheetId="2">#REF!</definedName>
    <definedName name="Modélisation_Routeur_TEC" localSheetId="6">#REF!</definedName>
    <definedName name="Modélisation_Routeur_TEC" localSheetId="7">#REF!</definedName>
    <definedName name="Modélisation_Routeur_TEC" localSheetId="10">#REF!</definedName>
    <definedName name="Modélisation_Routeur_TEC" localSheetId="18">#REF!</definedName>
    <definedName name="Modélisation_Routeur_TEC" localSheetId="19">#REF!</definedName>
    <definedName name="Modélisation_Serveur_Amont_CPU" localSheetId="2">#REF!</definedName>
    <definedName name="Modélisation_Serveur_Amont_CPU" localSheetId="6">#REF!</definedName>
    <definedName name="Modélisation_Serveur_Amont_CPU" localSheetId="7">#REF!</definedName>
    <definedName name="Modélisation_Serveur_Amont_CPU" localSheetId="10">#REF!</definedName>
    <definedName name="Modélisation_Serveur_Amont_CPU" localSheetId="18">#REF!</definedName>
    <definedName name="Modélisation_Serveur_Amont_CPU" localSheetId="19">#REF!</definedName>
    <definedName name="Modélisation_Serveur_Amont_Fixe" localSheetId="2">#REF!</definedName>
    <definedName name="Modélisation_Serveur_Amont_Fixe" localSheetId="6">#REF!</definedName>
    <definedName name="Modélisation_Serveur_Amont_Fixe" localSheetId="7">#REF!</definedName>
    <definedName name="Modélisation_Serveur_Amont_Fixe" localSheetId="10">#REF!</definedName>
    <definedName name="Modélisation_Serveur_Amont_Fixe" localSheetId="18">#REF!</definedName>
    <definedName name="Modélisation_Serveur_Amont_Fixe" localSheetId="19">#REF!</definedName>
    <definedName name="Modélisation_Serveur_Amont_RAM" localSheetId="2">#REF!</definedName>
    <definedName name="Modélisation_Serveur_Amont_RAM" localSheetId="6">#REF!</definedName>
    <definedName name="Modélisation_Serveur_Amont_RAM" localSheetId="7">#REF!</definedName>
    <definedName name="Modélisation_Serveur_Amont_RAM" localSheetId="10">#REF!</definedName>
    <definedName name="Modélisation_Serveur_Amont_RAM" localSheetId="18">#REF!</definedName>
    <definedName name="Modélisation_Serveur_Amont_RAM" localSheetId="19">#REF!</definedName>
    <definedName name="Modélisation_Serveur_Lifetime" localSheetId="2">#REF!</definedName>
    <definedName name="Modélisation_Serveur_Lifetime" localSheetId="6">#REF!</definedName>
    <definedName name="Modélisation_Serveur_Lifetime" localSheetId="7">#REF!</definedName>
    <definedName name="Modélisation_Serveur_Lifetime" localSheetId="10">#REF!</definedName>
    <definedName name="Modélisation_Serveur_TEC" localSheetId="2">#REF!</definedName>
    <definedName name="Modélisation_Serveur_TEC" localSheetId="6">#REF!</definedName>
    <definedName name="Modélisation_Serveur_TEC" localSheetId="7">#REF!</definedName>
    <definedName name="Modélisation_Serveur_TEC" localSheetId="10">#REF!</definedName>
    <definedName name="Modélisation_Serveur_TEC" localSheetId="18">#REF!</definedName>
    <definedName name="Modélisation_Serveur_TEC" localSheetId="19">#REF!</definedName>
    <definedName name="Modélisation_Smartphones_Amont" localSheetId="2">#REF!</definedName>
    <definedName name="Modélisation_Smartphones_Amont" localSheetId="6">#REF!</definedName>
    <definedName name="Modélisation_Smartphones_Amont" localSheetId="7">#REF!</definedName>
    <definedName name="Modélisation_Smartphones_Amont" localSheetId="10">#REF!</definedName>
    <definedName name="Modélisation_Smartphones_Amont" localSheetId="18">#REF!</definedName>
    <definedName name="Modélisation_Smartphones_Amont" localSheetId="19">#REF!</definedName>
    <definedName name="Modélisation_Smartphones_Lifetime" localSheetId="2">#REF!</definedName>
    <definedName name="Modélisation_Smartphones_Lifetime" localSheetId="6">#REF!</definedName>
    <definedName name="Modélisation_Smartphones_Lifetime" localSheetId="7">#REF!</definedName>
    <definedName name="Modélisation_Smartphones_Lifetime" localSheetId="10">#REF!</definedName>
    <definedName name="Modélisation_Smartphones_TEC" localSheetId="2">#REF!</definedName>
    <definedName name="Modélisation_Smartphones_TEC" localSheetId="6">#REF!</definedName>
    <definedName name="Modélisation_Smartphones_TEC" localSheetId="7">#REF!</definedName>
    <definedName name="Modélisation_Smartphones_TEC" localSheetId="10">#REF!</definedName>
    <definedName name="Modélisation_Smartphones_TEC" localSheetId="18">#REF!</definedName>
    <definedName name="Modélisation_Smartphones_TEC" localSheetId="19">#REF!</definedName>
    <definedName name="Modélisation_Switch_Grand_Amont" localSheetId="2">#REF!</definedName>
    <definedName name="Modélisation_Switch_Grand_Amont" localSheetId="6">#REF!</definedName>
    <definedName name="Modélisation_Switch_Grand_Amont" localSheetId="7">#REF!</definedName>
    <definedName name="Modélisation_Switch_Grand_Amont" localSheetId="10">#REF!</definedName>
    <definedName name="Modélisation_Switch_Grand_Amont" localSheetId="18">#REF!</definedName>
    <definedName name="Modélisation_Switch_Grand_Amont" localSheetId="19">#REF!</definedName>
    <definedName name="Modélisation_Switch_Grand_Aval" localSheetId="2">#REF!</definedName>
    <definedName name="Modélisation_Switch_Grand_Aval" localSheetId="6">#REF!</definedName>
    <definedName name="Modélisation_Switch_Grand_Aval" localSheetId="7">#REF!</definedName>
    <definedName name="Modélisation_Switch_Grand_Aval" localSheetId="10">#REF!</definedName>
    <definedName name="Modélisation_Switch_Grand_Lifetime" localSheetId="2">#REF!</definedName>
    <definedName name="Modélisation_Switch_Grand_Lifetime" localSheetId="6">#REF!</definedName>
    <definedName name="Modélisation_Switch_Grand_Lifetime" localSheetId="7">#REF!</definedName>
    <definedName name="Modélisation_Switch_Grand_Lifetime" localSheetId="10">#REF!</definedName>
    <definedName name="Modélisation_Switch_Grand_TEC" localSheetId="2">#REF!</definedName>
    <definedName name="Modélisation_Switch_Grand_TEC" localSheetId="6">#REF!</definedName>
    <definedName name="Modélisation_Switch_Grand_TEC" localSheetId="7">#REF!</definedName>
    <definedName name="Modélisation_Switch_Grand_TEC" localSheetId="10">#REF!</definedName>
    <definedName name="Modélisation_Switch_Grand_TEC" localSheetId="18">#REF!</definedName>
    <definedName name="Modélisation_Switch_Grand_TEC" localSheetId="19">#REF!</definedName>
    <definedName name="Modélisation_Switch_Petit_Amont" localSheetId="2">#REF!</definedName>
    <definedName name="Modélisation_Switch_Petit_Amont" localSheetId="6">#REF!</definedName>
    <definedName name="Modélisation_Switch_Petit_Amont" localSheetId="7">#REF!</definedName>
    <definedName name="Modélisation_Switch_Petit_Amont" localSheetId="10">#REF!</definedName>
    <definedName name="Modélisation_Switch_Petit_Amont" localSheetId="18">#REF!</definedName>
    <definedName name="Modélisation_Switch_Petit_Amont" localSheetId="19">#REF!</definedName>
    <definedName name="Modélisation_Switch_Petit_Aval" localSheetId="2">#REF!</definedName>
    <definedName name="Modélisation_Switch_Petit_Aval" localSheetId="6">#REF!</definedName>
    <definedName name="Modélisation_Switch_Petit_Aval" localSheetId="7">#REF!</definedName>
    <definedName name="Modélisation_Switch_Petit_Aval" localSheetId="10">#REF!</definedName>
    <definedName name="Modélisation_Switch_Petit_Lifetime" localSheetId="2">#REF!</definedName>
    <definedName name="Modélisation_Switch_Petit_Lifetime" localSheetId="6">#REF!</definedName>
    <definedName name="Modélisation_Switch_Petit_Lifetime" localSheetId="7">#REF!</definedName>
    <definedName name="Modélisation_Switch_Petit_Lifetime" localSheetId="10">#REF!</definedName>
    <definedName name="Modélisation_Switch_Petit_TEC" localSheetId="2">#REF!</definedName>
    <definedName name="Modélisation_Switch_Petit_TEC" localSheetId="6">#REF!</definedName>
    <definedName name="Modélisation_Switch_Petit_TEC" localSheetId="7">#REF!</definedName>
    <definedName name="Modélisation_Switch_Petit_TEC" localSheetId="10">#REF!</definedName>
    <definedName name="Modélisation_Switch_Petit_TEC" localSheetId="18">#REF!</definedName>
    <definedName name="Modélisation_Switch_Petit_TEC" localSheetId="19">#REF!</definedName>
    <definedName name="Modélisation_Tablette_Amont" localSheetId="2">#REF!</definedName>
    <definedName name="Modélisation_Tablette_Amont" localSheetId="6">#REF!</definedName>
    <definedName name="Modélisation_Tablette_Amont" localSheetId="7">#REF!</definedName>
    <definedName name="Modélisation_Tablette_Amont" localSheetId="10">#REF!</definedName>
    <definedName name="Modélisation_Tablette_Amont" localSheetId="19">#REF!</definedName>
    <definedName name="Modélisation_Tablette_Gwp_total" localSheetId="2">#REF!</definedName>
    <definedName name="Modélisation_Tablette_Gwp_total" localSheetId="6">#REF!</definedName>
    <definedName name="Modélisation_Tablette_Gwp_total" localSheetId="7">#REF!</definedName>
    <definedName name="Modélisation_Tablette_Gwp_total" localSheetId="10">#REF!</definedName>
    <definedName name="Modélisation_Tablette_Gwp_total" localSheetId="19">#REF!</definedName>
    <definedName name="Modélisation_Tablette_Lifetime" localSheetId="2">#REF!</definedName>
    <definedName name="Modélisation_Tablette_Lifetime" localSheetId="6">#REF!</definedName>
    <definedName name="Modélisation_Tablette_Lifetime" localSheetId="7">#REF!</definedName>
    <definedName name="Modélisation_Tablette_Lifetime" localSheetId="10">#REF!</definedName>
    <definedName name="Modélisation_Tablette_TEC" localSheetId="2">#REF!</definedName>
    <definedName name="Modélisation_Tablette_TEC" localSheetId="6">#REF!</definedName>
    <definedName name="Modélisation_Tablette_TEC" localSheetId="7">#REF!</definedName>
    <definedName name="Modélisation_Tablette_TEC" localSheetId="10">#REF!</definedName>
    <definedName name="Modélisation_Tablette_TEC" localSheetId="19">#REF!</definedName>
    <definedName name="Modélisation_Telfixe_Amont" localSheetId="2">#REF!</definedName>
    <definedName name="Modélisation_Telfixe_Amont" localSheetId="6">#REF!</definedName>
    <definedName name="Modélisation_Telfixe_Amont" localSheetId="7">#REF!</definedName>
    <definedName name="Modélisation_Telfixe_Amont" localSheetId="10">#REF!</definedName>
    <definedName name="Modélisation_Telfixe_Cradletograve" localSheetId="2">#REF!</definedName>
    <definedName name="Modélisation_Telfixe_Cradletograve" localSheetId="6">#REF!</definedName>
    <definedName name="Modélisation_Telfixe_Cradletograve" localSheetId="7">#REF!</definedName>
    <definedName name="Modélisation_Telfixe_Cradletograve" localSheetId="10">#REF!</definedName>
    <definedName name="Modélisation_Telfixe_Lifetime" localSheetId="2">#REF!</definedName>
    <definedName name="Modélisation_Telfixe_Lifetime" localSheetId="6">#REF!</definedName>
    <definedName name="Modélisation_Telfixe_Lifetime" localSheetId="7">#REF!</definedName>
    <definedName name="Modélisation_Telfixe_Lifetime" localSheetId="10">#REF!</definedName>
    <definedName name="Modélisation_Telfixe_TEC" localSheetId="2">#REF!</definedName>
    <definedName name="Modélisation_Telfixe_TEC" localSheetId="6">#REF!</definedName>
    <definedName name="Modélisation_Telfixe_TEC" localSheetId="7">#REF!</definedName>
    <definedName name="Modélisation_Telfixe_TEC" localSheetId="10">#REF!</definedName>
    <definedName name="Modélisation_Telfixe_TEC" localSheetId="19">#REF!</definedName>
    <definedName name="Modélisation_Wifi_Amont" localSheetId="2">#REF!</definedName>
    <definedName name="Modélisation_Wifi_Amont" localSheetId="6">#REF!</definedName>
    <definedName name="Modélisation_Wifi_Amont" localSheetId="7">#REF!</definedName>
    <definedName name="Modélisation_Wifi_Amont" localSheetId="10">#REF!</definedName>
    <definedName name="Modélisation_Wifi_Amont" localSheetId="19">#REF!</definedName>
    <definedName name="Modélisation_Wifi_Lifetime" localSheetId="2">#REF!</definedName>
    <definedName name="Modélisation_Wifi_Lifetime" localSheetId="6">#REF!</definedName>
    <definedName name="Modélisation_Wifi_Lifetime" localSheetId="7">#REF!</definedName>
    <definedName name="Modélisation_Wifi_Lifetime" localSheetId="10">#REF!</definedName>
    <definedName name="Modélisation_Wifi_TEC" localSheetId="2">#REF!</definedName>
    <definedName name="Modélisation_Wifi_TEC" localSheetId="6">#REF!</definedName>
    <definedName name="Modélisation_Wifi_TEC" localSheetId="7">#REF!</definedName>
    <definedName name="Modélisation_Wifi_TEC" localSheetId="10">#REF!</definedName>
    <definedName name="Modélisation_Wifi_TEC" localSheetId="19">#REF!</definedName>
    <definedName name="Résultats_Ordinateurs_Portables" localSheetId="2">#REF!</definedName>
    <definedName name="Résultats_Ordinateurs_Portables" localSheetId="6">#REF!</definedName>
    <definedName name="Résultats_Ordinateurs_Portables" localSheetId="7">#REF!</definedName>
    <definedName name="Résultats_Ordinateurs_Portables" localSheetId="10">#REF!</definedName>
    <definedName name="SaaS" localSheetId="2">#REF!</definedName>
    <definedName name="SaaS" localSheetId="6">#REF!</definedName>
    <definedName name="SaaS" localSheetId="7">#REF!</definedName>
    <definedName name="SaaS" localSheetId="10">#REF!</definedName>
    <definedName name="SaaS" localSheetId="19">#REF!</definedName>
    <definedName name="Scope2_Devices" localSheetId="17">'2.7 Mapping Non Cyber'!$C$12</definedName>
    <definedName name="Scope2_Devices">'2.1 Mapping Devices'!$C$12</definedName>
    <definedName name="Scope2_External">'2.5 Mapping External services'!$C$12</definedName>
    <definedName name="Scope2_Network">'2.2 Mapping Network'!$C$12</definedName>
    <definedName name="Scope2_Non_Cyber">'2.7 Mapping Non Cyber'!$C$12:$C$12</definedName>
    <definedName name="Scope2_Servers">'2.3 Mapping Backup Servers'!$C$12</definedName>
    <definedName name="Scope2_Solutions">'2.4 Mapping CyberSoftware Infra'!$C$12</definedName>
    <definedName name="Scope2_Travel">'2.6 Mapping Travel'!$C$12</definedName>
    <definedName name="Scope3_Devices" localSheetId="17">'2.7 Mapping Non Cyber'!$C$13</definedName>
    <definedName name="Scope3_Devices">'2.1 Mapping Devices'!$C$13</definedName>
    <definedName name="Scope3_External">'2.5 Mapping External services'!$C$13</definedName>
    <definedName name="Scope3_Network">'2.2 Mapping Network'!$C$13</definedName>
    <definedName name="Scope3_Non_Cyber">'2.7 Mapping Non Cyber'!$C$13:$C$13</definedName>
    <definedName name="Scope3_Servers">'2.3 Mapping Backup Servers'!$C$13</definedName>
    <definedName name="Scope3_Solutions">'2.4 Mapping CyberSoftware Infra'!$C$13</definedName>
    <definedName name="Scope3_Travel">'2.6 Mapping Travel'!$C$13</definedName>
    <definedName name="SP_EXCEL_LINK_68d5c4a4cc0f4253b9ef9879cf02392a" localSheetId="2" hidden="1">#REF!</definedName>
    <definedName name="SP_EXCEL_LINK_68d5c4a4cc0f4253b9ef9879cf02392a" localSheetId="6" hidden="1">#REF!</definedName>
    <definedName name="SP_EXCEL_LINK_68d5c4a4cc0f4253b9ef9879cf02392a" localSheetId="7" hidden="1">#REF!</definedName>
    <definedName name="SP_EXCEL_LINK_68d5c4a4cc0f4253b9ef9879cf02392a" localSheetId="10" hidden="1">#REF!</definedName>
    <definedName name="Statut" localSheetId="2">#REF!</definedName>
    <definedName name="Statut" localSheetId="6">#REF!</definedName>
    <definedName name="Statut" localSheetId="7">#REF!</definedName>
    <definedName name="Statut" localSheetId="10">#REF!</definedName>
    <definedName name="Total" localSheetId="2">#REF!</definedName>
    <definedName name="Total" localSheetId="6">#REF!</definedName>
    <definedName name="Total" localSheetId="7">#REF!</definedName>
    <definedName name="Total" localSheetId="10">#REF!</definedName>
    <definedName name="Total">'4.1 Dashboard_Control'!$B$1</definedName>
    <definedName name="Total_Devices" localSheetId="17">'2.7 Mapping Non Cyber'!$C$11</definedName>
    <definedName name="Total_Devices">'2.1 Mapping Devices'!$C$11</definedName>
    <definedName name="Total_External">'2.5 Mapping External services'!$C$11</definedName>
    <definedName name="Total_External_Services">'2.5 Mapping External services'!$C$11</definedName>
    <definedName name="Total_GES_Cloud_Mail" localSheetId="2">#REF!</definedName>
    <definedName name="Total_GES_Cloud_Mail" localSheetId="6">#REF!</definedName>
    <definedName name="Total_GES_Cloud_Mail" localSheetId="7">#REF!</definedName>
    <definedName name="Total_GES_Cloud_Mail" localSheetId="10">#REF!</definedName>
    <definedName name="Total_GES_Cloud_Mail" localSheetId="19">#REF!</definedName>
    <definedName name="Total_GES_Cloud_Mail_Cible" localSheetId="2">#REF!</definedName>
    <definedName name="Total_GES_Cloud_Mail_Cible" localSheetId="6">#REF!</definedName>
    <definedName name="Total_GES_Cloud_Mail_Cible" localSheetId="7">#REF!</definedName>
    <definedName name="Total_GES_Cloud_Mail_Cible" localSheetId="10">#REF!</definedName>
    <definedName name="Total_GES_Cloud_Mail_Cible" localSheetId="19">#REF!</definedName>
    <definedName name="Total_GES_Cloud_Stockage" localSheetId="2">#REF!</definedName>
    <definedName name="Total_GES_Cloud_Stockage" localSheetId="6">#REF!</definedName>
    <definedName name="Total_GES_Cloud_Stockage" localSheetId="7">#REF!</definedName>
    <definedName name="Total_GES_Cloud_Stockage" localSheetId="10">#REF!</definedName>
    <definedName name="Total_GES_Cloud_Stockage" localSheetId="19">#REF!</definedName>
    <definedName name="Total_GES_Cloud_Stockage_Cible" localSheetId="2">#REF!</definedName>
    <definedName name="Total_GES_Cloud_Stockage_Cible" localSheetId="6">#REF!</definedName>
    <definedName name="Total_GES_Cloud_Stockage_Cible" localSheetId="7">#REF!</definedName>
    <definedName name="Total_GES_Cloud_Stockage_Cible" localSheetId="10">#REF!</definedName>
    <definedName name="Total_GES_Cloud_Stockage_Cible" localSheetId="19">#REF!</definedName>
    <definedName name="Total_GES_Cloud_Visio" localSheetId="2">#REF!</definedName>
    <definedName name="Total_GES_Cloud_Visio" localSheetId="6">#REF!</definedName>
    <definedName name="Total_GES_Cloud_Visio" localSheetId="7">#REF!</definedName>
    <definedName name="Total_GES_Cloud_Visio" localSheetId="10">#REF!</definedName>
    <definedName name="Total_GES_Cloud_Visio" localSheetId="19">#REF!</definedName>
    <definedName name="Total_GES_Cloud_Visio_Cible" localSheetId="2">#REF!</definedName>
    <definedName name="Total_GES_Cloud_Visio_Cible" localSheetId="6">#REF!</definedName>
    <definedName name="Total_GES_Cloud_Visio_Cible" localSheetId="7">#REF!</definedName>
    <definedName name="Total_GES_Cloud_Visio_Cible" localSheetId="10">#REF!</definedName>
    <definedName name="Total_GES_Cloud_Visio_Cible" localSheetId="19">#REF!</definedName>
    <definedName name="Total_GES_Ecrans" localSheetId="2">#REF!</definedName>
    <definedName name="Total_GES_Ecrans" localSheetId="6">#REF!</definedName>
    <definedName name="Total_GES_Ecrans" localSheetId="7">#REF!</definedName>
    <definedName name="Total_GES_Ecrans" localSheetId="10">#REF!</definedName>
    <definedName name="Total_GES_Ecrans" localSheetId="19">#REF!</definedName>
    <definedName name="Total_GES_Ecrans_Cible" localSheetId="2">#REF!</definedName>
    <definedName name="Total_GES_Ecrans_Cible" localSheetId="6">#REF!</definedName>
    <definedName name="Total_GES_Ecrans_Cible" localSheetId="7">#REF!</definedName>
    <definedName name="Total_GES_Ecrans_Cible" localSheetId="10">#REF!</definedName>
    <definedName name="Total_GES_Ecrans_Cible" localSheetId="19">#REF!</definedName>
    <definedName name="Total_GES_Firewalls" localSheetId="2">#REF!</definedName>
    <definedName name="Total_GES_Firewalls" localSheetId="6">#REF!</definedName>
    <definedName name="Total_GES_Firewalls" localSheetId="7">#REF!</definedName>
    <definedName name="Total_GES_Firewalls" localSheetId="10">#REF!</definedName>
    <definedName name="Total_GES_Firewalls_Cible" localSheetId="2">#REF!</definedName>
    <definedName name="Total_GES_Firewalls_Cible" localSheetId="6">#REF!</definedName>
    <definedName name="Total_GES_Firewalls_Cible" localSheetId="7">#REF!</definedName>
    <definedName name="Total_GES_Firewalls_Cible" localSheetId="10">#REF!</definedName>
    <definedName name="Total_GES_Firewalls_Cible_V2" localSheetId="2">#REF!</definedName>
    <definedName name="Total_GES_Firewalls_Cible_V2" localSheetId="6">#REF!</definedName>
    <definedName name="Total_GES_Firewalls_Cible_V2" localSheetId="7">#REF!</definedName>
    <definedName name="Total_GES_Firewalls_Cible_V2" localSheetId="10">#REF!</definedName>
    <definedName name="Total_GES_Firewalls_Cible_V2" localSheetId="19">#REF!</definedName>
    <definedName name="Total_GES_Firewalls_V2" localSheetId="2">#REF!</definedName>
    <definedName name="Total_GES_Firewalls_V2" localSheetId="6">#REF!</definedName>
    <definedName name="Total_GES_Firewalls_V2" localSheetId="7">#REF!</definedName>
    <definedName name="Total_GES_Firewalls_V2" localSheetId="10">#REF!</definedName>
    <definedName name="Total_GES_Firewalls_V2" localSheetId="19">#REF!</definedName>
    <definedName name="Total_GES_Imprimantes" localSheetId="2">#REF!</definedName>
    <definedName name="Total_GES_Imprimantes" localSheetId="6">#REF!</definedName>
    <definedName name="Total_GES_Imprimantes" localSheetId="7">#REF!</definedName>
    <definedName name="Total_GES_Imprimantes" localSheetId="10">#REF!</definedName>
    <definedName name="Total_GES_Imprimantes" localSheetId="19">#REF!</definedName>
    <definedName name="Total_GES_Imprimantes_Cible" localSheetId="2">#REF!</definedName>
    <definedName name="Total_GES_Imprimantes_Cible" localSheetId="6">#REF!</definedName>
    <definedName name="Total_GES_Imprimantes_Cible" localSheetId="7">#REF!</definedName>
    <definedName name="Total_GES_Imprimantes_Cible" localSheetId="10">#REF!</definedName>
    <definedName name="Total_GES_Imprimantes_Cible" localSheetId="19">#REF!</definedName>
    <definedName name="Total_GES_Laptop" localSheetId="2">#REF!</definedName>
    <definedName name="Total_GES_Laptop" localSheetId="6">#REF!</definedName>
    <definedName name="Total_GES_Laptop" localSheetId="7">#REF!</definedName>
    <definedName name="Total_GES_Laptop" localSheetId="10">#REF!</definedName>
    <definedName name="Total_GES_Laptop_Cible" localSheetId="2">#REF!</definedName>
    <definedName name="Total_GES_Laptop_Cible" localSheetId="6">#REF!</definedName>
    <definedName name="Total_GES_Laptop_Cible" localSheetId="7">#REF!</definedName>
    <definedName name="Total_GES_Laptop_Cible" localSheetId="10">#REF!</definedName>
    <definedName name="Total_GES_PC" localSheetId="2">#REF!</definedName>
    <definedName name="Total_GES_PC" localSheetId="6">#REF!</definedName>
    <definedName name="Total_GES_PC" localSheetId="7">#REF!</definedName>
    <definedName name="Total_GES_PC" localSheetId="10">#REF!</definedName>
    <definedName name="Total_GES_PC_Cible" localSheetId="2">#REF!</definedName>
    <definedName name="Total_GES_PC_Cible" localSheetId="6">#REF!</definedName>
    <definedName name="Total_GES_PC_Cible" localSheetId="7">#REF!</definedName>
    <definedName name="Total_GES_PC_Cible" localSheetId="10">#REF!</definedName>
    <definedName name="Total_GES_Projection" localSheetId="2">#REF!</definedName>
    <definedName name="Total_GES_Projection" localSheetId="6">#REF!</definedName>
    <definedName name="Total_GES_Projection" localSheetId="7">#REF!</definedName>
    <definedName name="Total_GES_Projection" localSheetId="10">#REF!</definedName>
    <definedName name="Total_GES_Projection" localSheetId="19">#REF!</definedName>
    <definedName name="Total_GES_Projection_Cible" localSheetId="2">#REF!</definedName>
    <definedName name="Total_GES_Projection_Cible" localSheetId="6">#REF!</definedName>
    <definedName name="Total_GES_Projection_Cible" localSheetId="7">#REF!</definedName>
    <definedName name="Total_GES_Projection_Cible" localSheetId="10">#REF!</definedName>
    <definedName name="Total_GES_Projection_Cible" localSheetId="19">#REF!</definedName>
    <definedName name="Total_GES_Routeurs" localSheetId="2">#REF!</definedName>
    <definedName name="Total_GES_Routeurs" localSheetId="6">#REF!</definedName>
    <definedName name="Total_GES_Routeurs" localSheetId="7">#REF!</definedName>
    <definedName name="Total_GES_Routeurs" localSheetId="10">#REF!</definedName>
    <definedName name="Total_GES_Routeurs_Cible" localSheetId="2">#REF!</definedName>
    <definedName name="Total_GES_Routeurs_Cible" localSheetId="6">#REF!</definedName>
    <definedName name="Total_GES_Routeurs_Cible" localSheetId="7">#REF!</definedName>
    <definedName name="Total_GES_Routeurs_Cible" localSheetId="10">#REF!</definedName>
    <definedName name="Total_GES_Routeurs_Cible_V2" localSheetId="2">#REF!</definedName>
    <definedName name="Total_GES_Routeurs_Cible_V2" localSheetId="6">#REF!</definedName>
    <definedName name="Total_GES_Routeurs_Cible_V2" localSheetId="7">#REF!</definedName>
    <definedName name="Total_GES_Routeurs_Cible_V2" localSheetId="10">#REF!</definedName>
    <definedName name="Total_GES_Routeurs_Cible_V2" localSheetId="19">#REF!</definedName>
    <definedName name="Total_GES_Routeurs_V2" localSheetId="2">#REF!</definedName>
    <definedName name="Total_GES_Routeurs_V2" localSheetId="6">#REF!</definedName>
    <definedName name="Total_GES_Routeurs_V2" localSheetId="7">#REF!</definedName>
    <definedName name="Total_GES_Routeurs_V2" localSheetId="10">#REF!</definedName>
    <definedName name="Total_GES_Routeurs_V2" localSheetId="19">#REF!</definedName>
    <definedName name="Total_GES_Serveurs" localSheetId="2">#REF!</definedName>
    <definedName name="Total_GES_Serveurs" localSheetId="6">#REF!</definedName>
    <definedName name="Total_GES_Serveurs" localSheetId="7">#REF!</definedName>
    <definedName name="Total_GES_Serveurs" localSheetId="10">#REF!</definedName>
    <definedName name="Total_GES_Serveurs_Boavizta" localSheetId="2">#REF!</definedName>
    <definedName name="Total_GES_Serveurs_Boavizta" localSheetId="6">#REF!</definedName>
    <definedName name="Total_GES_Serveurs_Boavizta" localSheetId="7">#REF!</definedName>
    <definedName name="Total_GES_Serveurs_Boavizta" localSheetId="10">#REF!</definedName>
    <definedName name="Total_GES_Serveurs_Boavizta" localSheetId="19">#REF!</definedName>
    <definedName name="Total_GES_Serveurs_Boavizta_Cible" localSheetId="2">#REF!</definedName>
    <definedName name="Total_GES_Serveurs_Boavizta_Cible" localSheetId="6">#REF!</definedName>
    <definedName name="Total_GES_Serveurs_Boavizta_Cible" localSheetId="7">#REF!</definedName>
    <definedName name="Total_GES_Serveurs_Boavizta_Cible" localSheetId="10">#REF!</definedName>
    <definedName name="Total_GES_Serveurs_Boavizta_Cible" localSheetId="19">#REF!</definedName>
    <definedName name="Total_GES_Serveurs_Cible" localSheetId="2">#REF!</definedName>
    <definedName name="Total_GES_Serveurs_Cible" localSheetId="6">#REF!</definedName>
    <definedName name="Total_GES_Serveurs_Cible" localSheetId="7">#REF!</definedName>
    <definedName name="Total_GES_Serveurs_Cible" localSheetId="10">#REF!</definedName>
    <definedName name="Total_GES_Smartphones" localSheetId="2">#REF!</definedName>
    <definedName name="Total_GES_Smartphones" localSheetId="6">#REF!</definedName>
    <definedName name="Total_GES_Smartphones" localSheetId="7">#REF!</definedName>
    <definedName name="Total_GES_Smartphones" localSheetId="10">#REF!</definedName>
    <definedName name="Total_GES_Smartphones" localSheetId="19">#REF!</definedName>
    <definedName name="Total_GES_Switchs" localSheetId="2">#REF!</definedName>
    <definedName name="Total_GES_Switchs" localSheetId="6">#REF!</definedName>
    <definedName name="Total_GES_Switchs" localSheetId="7">#REF!</definedName>
    <definedName name="Total_GES_Switchs" localSheetId="10">#REF!</definedName>
    <definedName name="Total_GES_Switchs_Cible" localSheetId="2">#REF!</definedName>
    <definedName name="Total_GES_Switchs_Cible" localSheetId="6">#REF!</definedName>
    <definedName name="Total_GES_Switchs_Cible" localSheetId="7">#REF!</definedName>
    <definedName name="Total_GES_Switchs_Cible" localSheetId="10">#REF!</definedName>
    <definedName name="Total_GES_Switchs_Cible_V2" localSheetId="2">#REF!</definedName>
    <definedName name="Total_GES_Switchs_Cible_V2" localSheetId="6">#REF!</definedName>
    <definedName name="Total_GES_Switchs_Cible_V2" localSheetId="7">#REF!</definedName>
    <definedName name="Total_GES_Switchs_Cible_V2" localSheetId="10">#REF!</definedName>
    <definedName name="Total_GES_Switchs_Cible_V2" localSheetId="19">#REF!</definedName>
    <definedName name="Total_GES_Switchs_V2" localSheetId="2">#REF!</definedName>
    <definedName name="Total_GES_Switchs_V2" localSheetId="6">#REF!</definedName>
    <definedName name="Total_GES_Switchs_V2" localSheetId="7">#REF!</definedName>
    <definedName name="Total_GES_Switchs_V2" localSheetId="10">#REF!</definedName>
    <definedName name="Total_GES_Switchs_V2" localSheetId="19">#REF!</definedName>
    <definedName name="Total_GES_Tablettes" localSheetId="2">#REF!</definedName>
    <definedName name="Total_GES_Tablettes" localSheetId="6">#REF!</definedName>
    <definedName name="Total_GES_Tablettes" localSheetId="7">#REF!</definedName>
    <definedName name="Total_GES_Tablettes" localSheetId="10">#REF!</definedName>
    <definedName name="Total_GES_Tablettes" localSheetId="19">#REF!</definedName>
    <definedName name="Total_GES_Tablettes_Cible" localSheetId="2">#REF!</definedName>
    <definedName name="Total_GES_Tablettes_Cible" localSheetId="6">#REF!</definedName>
    <definedName name="Total_GES_Tablettes_Cible" localSheetId="7">#REF!</definedName>
    <definedName name="Total_GES_Tablettes_Cible" localSheetId="10">#REF!</definedName>
    <definedName name="Total_GES_Tablettes_Cible" localSheetId="19">#REF!</definedName>
    <definedName name="Total_GES_Téléphones_fixes" localSheetId="2">#REF!</definedName>
    <definedName name="Total_GES_Téléphones_fixes" localSheetId="6">#REF!</definedName>
    <definedName name="Total_GES_Téléphones_fixes" localSheetId="7">#REF!</definedName>
    <definedName name="Total_GES_Téléphones_fixes" localSheetId="10">#REF!</definedName>
    <definedName name="Total_GES_Téléphones_fixes" localSheetId="19">#REF!</definedName>
    <definedName name="Total_GES_Téléphones_fixes_cible" localSheetId="2">#REF!</definedName>
    <definedName name="Total_GES_Téléphones_fixes_cible" localSheetId="6">#REF!</definedName>
    <definedName name="Total_GES_Téléphones_fixes_cible" localSheetId="7">#REF!</definedName>
    <definedName name="Total_GES_Téléphones_fixes_cible" localSheetId="10">#REF!</definedName>
    <definedName name="Total_GES_Téléphones_fixes_cible" localSheetId="19">#REF!</definedName>
    <definedName name="Total_GES_Téléphonie_Cible" localSheetId="2">#REF!</definedName>
    <definedName name="Total_GES_Téléphonie_Cible" localSheetId="6">#REF!</definedName>
    <definedName name="Total_GES_Téléphonie_Cible" localSheetId="7">#REF!</definedName>
    <definedName name="Total_GES_Téléphonie_Cible" localSheetId="10">#REF!</definedName>
    <definedName name="Total_GES_Téléphonie_Cible" localSheetId="19">#REF!</definedName>
    <definedName name="Total_GES_Televiseurs" localSheetId="2">#REF!</definedName>
    <definedName name="Total_GES_Televiseurs" localSheetId="6">#REF!</definedName>
    <definedName name="Total_GES_Televiseurs" localSheetId="7">#REF!</definedName>
    <definedName name="Total_GES_Televiseurs" localSheetId="10">#REF!</definedName>
    <definedName name="Total_GES_Televiseurs" localSheetId="19">#REF!</definedName>
    <definedName name="Total_GES_Televiseurs_Cible" localSheetId="2">#REF!</definedName>
    <definedName name="Total_GES_Televiseurs_Cible" localSheetId="6">#REF!</definedName>
    <definedName name="Total_GES_Televiseurs_Cible" localSheetId="7">#REF!</definedName>
    <definedName name="Total_GES_Televiseurs_Cible" localSheetId="10">#REF!</definedName>
    <definedName name="Total_GES_Televiseurs_Cible" localSheetId="19">#REF!</definedName>
    <definedName name="Total_GES_Visioconférence" localSheetId="2">#REF!</definedName>
    <definedName name="Total_GES_Visioconférence" localSheetId="6">#REF!</definedName>
    <definedName name="Total_GES_Visioconférence" localSheetId="7">#REF!</definedName>
    <definedName name="Total_GES_Visioconférence" localSheetId="10">#REF!</definedName>
    <definedName name="Total_GES_Visioconférence" localSheetId="19">#REF!</definedName>
    <definedName name="Total_GES_Visioconférence_Cible" localSheetId="2">#REF!</definedName>
    <definedName name="Total_GES_Visioconférence_Cible" localSheetId="6">#REF!</definedName>
    <definedName name="Total_GES_Visioconférence_Cible" localSheetId="7">#REF!</definedName>
    <definedName name="Total_GES_Visioconférence_Cible" localSheetId="10">#REF!</definedName>
    <definedName name="Total_GES_Visioconférence_Cible" localSheetId="19">#REF!</definedName>
    <definedName name="Total_GES_Wifi" localSheetId="2">#REF!</definedName>
    <definedName name="Total_GES_Wifi" localSheetId="6">#REF!</definedName>
    <definedName name="Total_GES_Wifi" localSheetId="7">#REF!</definedName>
    <definedName name="Total_GES_Wifi" localSheetId="10">#REF!</definedName>
    <definedName name="Total_GES_Wifi_Cible" localSheetId="2">#REF!</definedName>
    <definedName name="Total_GES_Wifi_Cible" localSheetId="6">#REF!</definedName>
    <definedName name="Total_GES_Wifi_Cible" localSheetId="7">#REF!</definedName>
    <definedName name="Total_GES_Wifi_Cible" localSheetId="10">#REF!</definedName>
    <definedName name="Total_GES_Wifi_Cible_V2" localSheetId="2">#REF!</definedName>
    <definedName name="Total_GES_Wifi_Cible_V2" localSheetId="6">#REF!</definedName>
    <definedName name="Total_GES_Wifi_Cible_V2" localSheetId="7">#REF!</definedName>
    <definedName name="Total_GES_Wifi_Cible_V2" localSheetId="10">#REF!</definedName>
    <definedName name="Total_GES_Wifi_Cible_V2" localSheetId="19">#REF!</definedName>
    <definedName name="Total_GES_Wifi_V2" localSheetId="2">#REF!</definedName>
    <definedName name="Total_GES_Wifi_V2" localSheetId="6">#REF!</definedName>
    <definedName name="Total_GES_Wifi_V2" localSheetId="7">#REF!</definedName>
    <definedName name="Total_GES_Wifi_V2" localSheetId="10">#REF!</definedName>
    <definedName name="Total_GES_Wifi_V2" localSheetId="19">#REF!</definedName>
    <definedName name="Total_Network">'2.2 Mapping Network'!$C$11</definedName>
    <definedName name="Total_Non_Cyber">'2.7 Mapping Non Cyber'!$C$11:$C$11</definedName>
    <definedName name="Total_Scope2">'4.1 Dashboard_Control'!$B$2</definedName>
    <definedName name="Total_Scope3">'4.1 Dashboard_Control'!$B$3</definedName>
    <definedName name="Total_Servers">'2.3 Mapping Backup Servers'!$C$11</definedName>
    <definedName name="Total_Solutions">'2.4 Mapping CyberSoftware Infra'!$C$11</definedName>
    <definedName name="Total_Travel">'2.6 Mapping Travel'!$C$11</definedName>
    <definedName name="Utilisation_GES_Ecrans" localSheetId="2">#REF!</definedName>
    <definedName name="Utilisation_GES_Ecrans" localSheetId="6">#REF!</definedName>
    <definedName name="Utilisation_GES_Ecrans" localSheetId="7">#REF!</definedName>
    <definedName name="Utilisation_GES_Ecrans" localSheetId="10">#REF!</definedName>
    <definedName name="Utilisation_GES_Ecrans" localSheetId="19">#REF!</definedName>
    <definedName name="Utilisation_GES_Firewall" localSheetId="2">#REF!</definedName>
    <definedName name="Utilisation_GES_Firewall" localSheetId="6">#REF!</definedName>
    <definedName name="Utilisation_GES_Firewall" localSheetId="7">#REF!</definedName>
    <definedName name="Utilisation_GES_Firewall" localSheetId="10">#REF!</definedName>
    <definedName name="Utilisation_GES_Firewall_V2" localSheetId="2">#REF!</definedName>
    <definedName name="Utilisation_GES_Firewall_V2" localSheetId="6">#REF!</definedName>
    <definedName name="Utilisation_GES_Firewall_V2" localSheetId="7">#REF!</definedName>
    <definedName name="Utilisation_GES_Firewall_V2" localSheetId="10">#REF!</definedName>
    <definedName name="Utilisation_GES_Firewall_V2" localSheetId="19">#REF!</definedName>
    <definedName name="Utilisation_GES_Imprimantes" localSheetId="2">#REF!</definedName>
    <definedName name="Utilisation_GES_Imprimantes" localSheetId="6">#REF!</definedName>
    <definedName name="Utilisation_GES_Imprimantes" localSheetId="7">#REF!</definedName>
    <definedName name="Utilisation_GES_Imprimantes" localSheetId="10">#REF!</definedName>
    <definedName name="Utilisation_GES_Imprimantes" localSheetId="19">#REF!</definedName>
    <definedName name="Utilisation_GES_Laptop" localSheetId="2">#REF!</definedName>
    <definedName name="Utilisation_GES_Laptop" localSheetId="6">#REF!</definedName>
    <definedName name="Utilisation_GES_Laptop" localSheetId="7">#REF!</definedName>
    <definedName name="Utilisation_GES_Laptop" localSheetId="10">#REF!</definedName>
    <definedName name="Utilisation_GES_PC" localSheetId="2">#REF!</definedName>
    <definedName name="Utilisation_GES_PC" localSheetId="6">#REF!</definedName>
    <definedName name="Utilisation_GES_PC" localSheetId="7">#REF!</definedName>
    <definedName name="Utilisation_GES_PC" localSheetId="10">#REF!</definedName>
    <definedName name="Utilisation_GES_Projection" localSheetId="2">#REF!</definedName>
    <definedName name="Utilisation_GES_Projection" localSheetId="6">#REF!</definedName>
    <definedName name="Utilisation_GES_Projection" localSheetId="7">#REF!</definedName>
    <definedName name="Utilisation_GES_Projection" localSheetId="10">#REF!</definedName>
    <definedName name="Utilisation_GES_Projection" localSheetId="19">#REF!</definedName>
    <definedName name="Utilisation_GES_Routeurs" localSheetId="2">#REF!</definedName>
    <definedName name="Utilisation_GES_Routeurs" localSheetId="6">#REF!</definedName>
    <definedName name="Utilisation_GES_Routeurs" localSheetId="7">#REF!</definedName>
    <definedName name="Utilisation_GES_Routeurs" localSheetId="10">#REF!</definedName>
    <definedName name="Utilisation_GES_Routeurs_V2" localSheetId="2">#REF!</definedName>
    <definedName name="Utilisation_GES_Routeurs_V2" localSheetId="6">#REF!</definedName>
    <definedName name="Utilisation_GES_Routeurs_V2" localSheetId="7">#REF!</definedName>
    <definedName name="Utilisation_GES_Routeurs_V2" localSheetId="10">#REF!</definedName>
    <definedName name="Utilisation_GES_Routeurs_V2" localSheetId="19">#REF!</definedName>
    <definedName name="Utilisation_GES_Serveurs" localSheetId="2">#REF!</definedName>
    <definedName name="Utilisation_GES_Serveurs" localSheetId="6">#REF!</definedName>
    <definedName name="Utilisation_GES_Serveurs" localSheetId="7">#REF!</definedName>
    <definedName name="Utilisation_GES_Serveurs" localSheetId="10">#REF!</definedName>
    <definedName name="Utilisation_GES_Serveurs_Boavizta" localSheetId="2">#REF!</definedName>
    <definedName name="Utilisation_GES_Serveurs_Boavizta" localSheetId="6">#REF!</definedName>
    <definedName name="Utilisation_GES_Serveurs_Boavizta" localSheetId="7">#REF!</definedName>
    <definedName name="Utilisation_GES_Serveurs_Boavizta" localSheetId="10">#REF!</definedName>
    <definedName name="Utilisation_GES_Serveurs_Boavizta" localSheetId="19">#REF!</definedName>
    <definedName name="Utilisation_GES_Switchs" localSheetId="2">#REF!</definedName>
    <definedName name="Utilisation_GES_Switchs" localSheetId="6">#REF!</definedName>
    <definedName name="Utilisation_GES_Switchs" localSheetId="7">#REF!</definedName>
    <definedName name="Utilisation_GES_Switchs" localSheetId="10">#REF!</definedName>
    <definedName name="Utilisation_GES_Switchs_V2" localSheetId="2">#REF!</definedName>
    <definedName name="Utilisation_GES_Switchs_V2" localSheetId="6">#REF!</definedName>
    <definedName name="Utilisation_GES_Switchs_V2" localSheetId="7">#REF!</definedName>
    <definedName name="Utilisation_GES_Switchs_V2" localSheetId="10">#REF!</definedName>
    <definedName name="Utilisation_GES_Switchs_V2" localSheetId="19">#REF!</definedName>
    <definedName name="Utilisation_GES_Tablettes" localSheetId="2">#REF!</definedName>
    <definedName name="Utilisation_GES_Tablettes" localSheetId="6">#REF!</definedName>
    <definedName name="Utilisation_GES_Tablettes" localSheetId="7">#REF!</definedName>
    <definedName name="Utilisation_GES_Tablettes" localSheetId="10">#REF!</definedName>
    <definedName name="Utilisation_GES_Tablettes" localSheetId="19">#REF!</definedName>
    <definedName name="Utilisation_GES_Téléphones_fixes" localSheetId="2">#REF!</definedName>
    <definedName name="Utilisation_GES_Téléphones_fixes" localSheetId="6">#REF!</definedName>
    <definedName name="Utilisation_GES_Téléphones_fixes" localSheetId="7">#REF!</definedName>
    <definedName name="Utilisation_GES_Téléphones_fixes" localSheetId="10">#REF!</definedName>
    <definedName name="Utilisation_GES_Téléphones_fixes" localSheetId="19">#REF!</definedName>
    <definedName name="Utilisation_GES_Téléphonie" localSheetId="2">#REF!</definedName>
    <definedName name="Utilisation_GES_Téléphonie" localSheetId="6">#REF!</definedName>
    <definedName name="Utilisation_GES_Téléphonie" localSheetId="7">#REF!</definedName>
    <definedName name="Utilisation_GES_Téléphonie" localSheetId="10">#REF!</definedName>
    <definedName name="Utilisation_GES_Téléphonie" localSheetId="19">#REF!</definedName>
    <definedName name="Utilisation_GES_Televiseurs" localSheetId="2">#REF!</definedName>
    <definedName name="Utilisation_GES_Televiseurs" localSheetId="6">#REF!</definedName>
    <definedName name="Utilisation_GES_Televiseurs" localSheetId="7">#REF!</definedName>
    <definedName name="Utilisation_GES_Televiseurs" localSheetId="10">#REF!</definedName>
    <definedName name="Utilisation_GES_Televiseurs" localSheetId="19">#REF!</definedName>
    <definedName name="Utilisation_GES_Visioconférence" localSheetId="2">#REF!</definedName>
    <definedName name="Utilisation_GES_Visioconférence" localSheetId="6">#REF!</definedName>
    <definedName name="Utilisation_GES_Visioconférence" localSheetId="7">#REF!</definedName>
    <definedName name="Utilisation_GES_Visioconférence" localSheetId="10">#REF!</definedName>
    <definedName name="Utilisation_GES_Visioconférence" localSheetId="19">#REF!</definedName>
    <definedName name="Utilisation_GES_Wifi" localSheetId="2">#REF!</definedName>
    <definedName name="Utilisation_GES_Wifi" localSheetId="6">#REF!</definedName>
    <definedName name="Utilisation_GES_Wifi" localSheetId="7">#REF!</definedName>
    <definedName name="Utilisation_GES_Wifi" localSheetId="10">#REF!</definedName>
    <definedName name="Utilisation_GES_Wifi_V2" localSheetId="2">#REF!</definedName>
    <definedName name="Utilisation_GES_Wifi_V2" localSheetId="6">#REF!</definedName>
    <definedName name="Utilisation_GES_Wifi_V2" localSheetId="7">#REF!</definedName>
    <definedName name="Utilisation_GES_Wifi_V2" localSheetId="10">#REF!</definedName>
    <definedName name="Utilisation_GES_Wifi_V2" localSheetId="1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53" l="1" a="1"/>
  <c r="N4" i="53" s="1"/>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I47" i="67"/>
  <c r="I48" i="67"/>
  <c r="I49" i="67"/>
  <c r="I50" i="67"/>
  <c r="I51" i="67"/>
  <c r="I36" i="67"/>
  <c r="I37" i="67"/>
  <c r="I38" i="67"/>
  <c r="I39" i="67"/>
  <c r="I40" i="67"/>
  <c r="I46" i="72"/>
  <c r="I47" i="72"/>
  <c r="I48" i="72"/>
  <c r="I49" i="72"/>
  <c r="I50" i="72"/>
  <c r="I35" i="72"/>
  <c r="I36" i="72"/>
  <c r="I37" i="72"/>
  <c r="I38" i="72"/>
  <c r="I39" i="72"/>
  <c r="J46" i="72"/>
  <c r="J47" i="72"/>
  <c r="J48" i="72"/>
  <c r="J49" i="72"/>
  <c r="J50" i="72"/>
  <c r="J35" i="72"/>
  <c r="J36" i="72"/>
  <c r="J37" i="72"/>
  <c r="J38" i="72"/>
  <c r="J39" i="72"/>
  <c r="C126" i="71"/>
  <c r="C127" i="71"/>
  <c r="C58" i="71"/>
  <c r="C64" i="71"/>
  <c r="C63" i="71"/>
  <c r="C59" i="71"/>
  <c r="C114" i="71"/>
  <c r="C115" i="71"/>
  <c r="C113" i="71"/>
  <c r="C112" i="71"/>
  <c r="C137" i="71"/>
  <c r="C136" i="71"/>
  <c r="C135" i="71" l="1"/>
  <c r="C134" i="71"/>
  <c r="C133" i="71"/>
  <c r="C132" i="71"/>
  <c r="C131" i="71"/>
  <c r="C125" i="71"/>
  <c r="C128" i="71"/>
  <c r="C129" i="71"/>
  <c r="C130" i="71"/>
  <c r="C108" i="71"/>
  <c r="A24" i="100" l="1"/>
  <c r="A25" i="100"/>
  <c r="A26" i="100"/>
  <c r="A23" i="100"/>
  <c r="A10" i="100"/>
  <c r="A9" i="100"/>
  <c r="A8" i="100"/>
  <c r="A7" i="100"/>
  <c r="A6" i="100"/>
  <c r="A4" i="100"/>
  <c r="A5" i="100"/>
  <c r="A241" i="98"/>
  <c r="A240" i="98"/>
  <c r="A239" i="98"/>
  <c r="A238" i="98"/>
  <c r="A237" i="98"/>
  <c r="A236" i="98"/>
  <c r="A235" i="98"/>
  <c r="A234" i="98"/>
  <c r="A233" i="98"/>
  <c r="A232" i="98"/>
  <c r="A231" i="98"/>
  <c r="A230" i="98"/>
  <c r="A229" i="98"/>
  <c r="A228" i="98"/>
  <c r="A227" i="98"/>
  <c r="A226" i="98"/>
  <c r="A225" i="98"/>
  <c r="A224" i="98"/>
  <c r="A223" i="98"/>
  <c r="A222" i="98"/>
  <c r="A221" i="98"/>
  <c r="A220" i="98"/>
  <c r="A219" i="98"/>
  <c r="A218" i="98"/>
  <c r="A217" i="98"/>
  <c r="A216" i="98"/>
  <c r="A215" i="98"/>
  <c r="A214" i="98"/>
  <c r="A213" i="98"/>
  <c r="A212" i="98"/>
  <c r="A211" i="98"/>
  <c r="A210" i="98"/>
  <c r="A209" i="98"/>
  <c r="A208" i="98"/>
  <c r="A207" i="98"/>
  <c r="A206" i="98"/>
  <c r="A205" i="98"/>
  <c r="A204" i="98"/>
  <c r="A203" i="98"/>
  <c r="A202" i="98"/>
  <c r="A201" i="98"/>
  <c r="A200" i="98"/>
  <c r="A199" i="98"/>
  <c r="A198" i="98"/>
  <c r="A197" i="98"/>
  <c r="A196" i="98"/>
  <c r="A195" i="98"/>
  <c r="A194" i="98"/>
  <c r="A193" i="98"/>
  <c r="A192" i="98"/>
  <c r="A191" i="98"/>
  <c r="A190" i="98"/>
  <c r="A189" i="98"/>
  <c r="A188" i="98"/>
  <c r="A187" i="98"/>
  <c r="A186" i="98"/>
  <c r="A185" i="98"/>
  <c r="A184" i="98"/>
  <c r="A183" i="98"/>
  <c r="A182" i="98"/>
  <c r="A181" i="98"/>
  <c r="A180" i="98"/>
  <c r="A179" i="98"/>
  <c r="A178" i="98"/>
  <c r="A177" i="98"/>
  <c r="A176" i="98"/>
  <c r="A175" i="98"/>
  <c r="A174" i="98"/>
  <c r="A173" i="98"/>
  <c r="A172" i="98"/>
  <c r="A171" i="98"/>
  <c r="A170" i="98"/>
  <c r="A169" i="98"/>
  <c r="A168" i="98"/>
  <c r="A167" i="98"/>
  <c r="A166" i="98"/>
  <c r="A165" i="98"/>
  <c r="A164" i="98"/>
  <c r="A163" i="98"/>
  <c r="A162" i="98"/>
  <c r="A161" i="98"/>
  <c r="A160" i="98"/>
  <c r="A159" i="98"/>
  <c r="A158" i="98"/>
  <c r="A157" i="98"/>
  <c r="A156" i="98"/>
  <c r="A155" i="98"/>
  <c r="A154" i="98"/>
  <c r="A153" i="98"/>
  <c r="A152" i="98"/>
  <c r="A151" i="98"/>
  <c r="A150" i="98"/>
  <c r="A149" i="98"/>
  <c r="A148" i="98"/>
  <c r="A147" i="98"/>
  <c r="A146" i="98"/>
  <c r="A145" i="98"/>
  <c r="A144"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S21" i="32" a="1"/>
  <c r="S21" i="32" s="1"/>
  <c r="S22" i="32" a="1"/>
  <c r="S22" i="32" s="1"/>
  <c r="S23" i="32" a="1"/>
  <c r="S23" i="32" s="1"/>
  <c r="S24" i="32" a="1"/>
  <c r="S24" i="32" s="1"/>
  <c r="S25" i="32" a="1"/>
  <c r="S25" i="32" s="1"/>
  <c r="S26" i="32" a="1"/>
  <c r="S26" i="32" s="1"/>
  <c r="S27" i="32" a="1"/>
  <c r="S27" i="32" s="1"/>
  <c r="S28" i="32" a="1"/>
  <c r="S28" i="32" s="1"/>
  <c r="S29" i="32" a="1"/>
  <c r="S29" i="32" s="1"/>
  <c r="S30" i="32" a="1"/>
  <c r="S30" i="32" s="1"/>
  <c r="S31" i="32" a="1"/>
  <c r="S31" i="32" s="1"/>
  <c r="S32" i="32" a="1"/>
  <c r="S32" i="32" s="1"/>
  <c r="S33" i="32" a="1"/>
  <c r="S33" i="32" s="1"/>
  <c r="S34" i="32" a="1"/>
  <c r="S34" i="32" s="1"/>
  <c r="S35" i="32" a="1"/>
  <c r="S35" i="32" s="1"/>
  <c r="S36" i="32" a="1"/>
  <c r="S36" i="32" s="1"/>
  <c r="S37" i="32" a="1"/>
  <c r="S37" i="32" s="1"/>
  <c r="S38" i="32" a="1"/>
  <c r="S38" i="32" s="1"/>
  <c r="S39" i="32" a="1"/>
  <c r="S39" i="32" s="1"/>
  <c r="S40" i="32" a="1"/>
  <c r="S40" i="32" s="1"/>
  <c r="S41" i="32" a="1"/>
  <c r="S41" i="32" s="1"/>
  <c r="S42" i="32" a="1"/>
  <c r="S42" i="32" s="1"/>
  <c r="S43" i="32" a="1"/>
  <c r="S43" i="32" s="1"/>
  <c r="S44" i="32" a="1"/>
  <c r="S44" i="32" s="1"/>
  <c r="S45" i="32" a="1"/>
  <c r="S45" i="32" s="1"/>
  <c r="S46" i="32" a="1"/>
  <c r="S46" i="32" s="1"/>
  <c r="S47" i="32" a="1"/>
  <c r="S47" i="32" s="1"/>
  <c r="S48" i="32" a="1"/>
  <c r="S48" i="32" s="1"/>
  <c r="S49" i="32" a="1"/>
  <c r="S49" i="32" s="1"/>
  <c r="S50" i="32" a="1"/>
  <c r="S50" i="32" s="1"/>
  <c r="S51" i="32" a="1"/>
  <c r="S51" i="32" s="1"/>
  <c r="S52" i="32" a="1"/>
  <c r="S52" i="32" s="1"/>
  <c r="S53" i="32" a="1"/>
  <c r="S53" i="32" s="1"/>
  <c r="S54" i="32" a="1"/>
  <c r="S54" i="32" s="1"/>
  <c r="S55" i="32" a="1"/>
  <c r="S55" i="32" s="1"/>
  <c r="S56" i="32" a="1"/>
  <c r="S56" i="32" s="1"/>
  <c r="S57" i="32" a="1"/>
  <c r="S57" i="32" s="1"/>
  <c r="S58" i="32" a="1"/>
  <c r="S58" i="32" s="1"/>
  <c r="S59" i="32" a="1"/>
  <c r="S59" i="32" s="1"/>
  <c r="S60" i="32" a="1"/>
  <c r="S60" i="32" s="1"/>
  <c r="S61" i="32" a="1"/>
  <c r="S61" i="32" s="1"/>
  <c r="S62" i="32" a="1"/>
  <c r="S62" i="32" s="1"/>
  <c r="S63" i="32" a="1"/>
  <c r="S63" i="32" s="1"/>
  <c r="S64" i="32" a="1"/>
  <c r="S64" i="32" s="1"/>
  <c r="S65" i="32" a="1"/>
  <c r="S65" i="32" s="1"/>
  <c r="S66" i="32" a="1"/>
  <c r="S66" i="32" s="1"/>
  <c r="S67" i="32" a="1"/>
  <c r="S67" i="32" s="1"/>
  <c r="S68" i="32" a="1"/>
  <c r="S68" i="32" s="1"/>
  <c r="S69" i="32" a="1"/>
  <c r="S69" i="32" s="1"/>
  <c r="S70" i="32" a="1"/>
  <c r="S70" i="32" s="1"/>
  <c r="S71" i="32" a="1"/>
  <c r="S71" i="32" s="1"/>
  <c r="S72" i="32" a="1"/>
  <c r="S72" i="32" s="1"/>
  <c r="S73" i="32" a="1"/>
  <c r="S73" i="32" s="1"/>
  <c r="S74" i="32" a="1"/>
  <c r="S74" i="32" s="1"/>
  <c r="S75" i="32" a="1"/>
  <c r="S75" i="32" s="1"/>
  <c r="S76" i="32" a="1"/>
  <c r="S76" i="32" s="1"/>
  <c r="S77" i="32" a="1"/>
  <c r="S77" i="32" s="1"/>
  <c r="S78" i="32" a="1"/>
  <c r="S78" i="32" s="1"/>
  <c r="S79" i="32" a="1"/>
  <c r="S79" i="32" s="1"/>
  <c r="S80" i="32" a="1"/>
  <c r="S80" i="32" s="1"/>
  <c r="S81" i="32" a="1"/>
  <c r="S81" i="32" s="1"/>
  <c r="S82" i="32" a="1"/>
  <c r="S82" i="32" s="1"/>
  <c r="S83" i="32" a="1"/>
  <c r="S83" i="32" s="1"/>
  <c r="S84" i="32" a="1"/>
  <c r="S84" i="32" s="1"/>
  <c r="S85" i="32" a="1"/>
  <c r="S85" i="32" s="1"/>
  <c r="S86" i="32" a="1"/>
  <c r="S86" i="32" s="1"/>
  <c r="S87" i="32" a="1"/>
  <c r="S87" i="32" s="1"/>
  <c r="S88" i="32" a="1"/>
  <c r="S88" i="32" s="1"/>
  <c r="S89" i="32" a="1"/>
  <c r="S89" i="32" s="1"/>
  <c r="S90" i="32" a="1"/>
  <c r="S90" i="32" s="1"/>
  <c r="O21" i="32" a="1"/>
  <c r="O21" i="32" s="1"/>
  <c r="O22" i="32" a="1"/>
  <c r="O22" i="32" s="1"/>
  <c r="J4" i="53" s="1" a="1"/>
  <c r="J4" i="53" s="1"/>
  <c r="O23" i="32" a="1"/>
  <c r="O23" i="32" s="1"/>
  <c r="O24" i="32" a="1"/>
  <c r="O24" i="32" s="1"/>
  <c r="O25" i="32" a="1"/>
  <c r="O25" i="32" s="1"/>
  <c r="O26" i="32" a="1"/>
  <c r="O26" i="32" s="1"/>
  <c r="O27" i="32" a="1"/>
  <c r="O27" i="32" s="1"/>
  <c r="O28" i="32" a="1"/>
  <c r="O28" i="32" s="1"/>
  <c r="O29" i="32" a="1"/>
  <c r="O29" i="32" s="1"/>
  <c r="O30" i="32" a="1"/>
  <c r="O30" i="32" s="1"/>
  <c r="O31" i="32" a="1"/>
  <c r="O31" i="32" s="1"/>
  <c r="O32" i="32" a="1"/>
  <c r="O32" i="32" s="1"/>
  <c r="O33" i="32" a="1"/>
  <c r="O33" i="32" s="1"/>
  <c r="O34" i="32" a="1"/>
  <c r="O34" i="32" s="1"/>
  <c r="O35" i="32" a="1"/>
  <c r="O35" i="32" s="1"/>
  <c r="O36" i="32" a="1"/>
  <c r="O36" i="32" s="1"/>
  <c r="O37" i="32" a="1"/>
  <c r="O37" i="32" s="1"/>
  <c r="O38" i="32" a="1"/>
  <c r="O38" i="32" s="1"/>
  <c r="O39" i="32" a="1"/>
  <c r="O39" i="32" s="1"/>
  <c r="O40" i="32" a="1"/>
  <c r="O40" i="32" s="1"/>
  <c r="O41" i="32" a="1"/>
  <c r="O41" i="32" s="1"/>
  <c r="O42" i="32" a="1"/>
  <c r="O42" i="32" s="1"/>
  <c r="O43" i="32" a="1"/>
  <c r="O43" i="32" s="1"/>
  <c r="O44" i="32" a="1"/>
  <c r="O44" i="32" s="1"/>
  <c r="O45" i="32" a="1"/>
  <c r="O45" i="32" s="1"/>
  <c r="O46" i="32" a="1"/>
  <c r="O46" i="32" s="1"/>
  <c r="O47" i="32" a="1"/>
  <c r="O47" i="32" s="1"/>
  <c r="O48" i="32" a="1"/>
  <c r="O48" i="32" s="1"/>
  <c r="O49" i="32" a="1"/>
  <c r="O49" i="32" s="1"/>
  <c r="O50" i="32" a="1"/>
  <c r="O50" i="32" s="1"/>
  <c r="O51" i="32" a="1"/>
  <c r="O51" i="32" s="1"/>
  <c r="O52" i="32" a="1"/>
  <c r="O52" i="32" s="1"/>
  <c r="O53" i="32" a="1"/>
  <c r="O53" i="32" s="1"/>
  <c r="O54" i="32" a="1"/>
  <c r="O54" i="32" s="1"/>
  <c r="O55" i="32" a="1"/>
  <c r="O55" i="32" s="1"/>
  <c r="O56" i="32" a="1"/>
  <c r="O56" i="32" s="1"/>
  <c r="O57" i="32" a="1"/>
  <c r="O57" i="32" s="1"/>
  <c r="O58" i="32" a="1"/>
  <c r="O58" i="32" s="1"/>
  <c r="O59" i="32" a="1"/>
  <c r="O59" i="32" s="1"/>
  <c r="O60" i="32" a="1"/>
  <c r="O60" i="32" s="1"/>
  <c r="O61" i="32" a="1"/>
  <c r="O61" i="32" s="1"/>
  <c r="O62" i="32" a="1"/>
  <c r="O62" i="32" s="1"/>
  <c r="O63" i="32" a="1"/>
  <c r="O63" i="32" s="1"/>
  <c r="O64" i="32" a="1"/>
  <c r="O64" i="32" s="1"/>
  <c r="O65" i="32" a="1"/>
  <c r="O65" i="32" s="1"/>
  <c r="O66" i="32" a="1"/>
  <c r="O66" i="32" s="1"/>
  <c r="O67" i="32" a="1"/>
  <c r="O67" i="32" s="1"/>
  <c r="O68" i="32" a="1"/>
  <c r="O68" i="32" s="1"/>
  <c r="O69" i="32" a="1"/>
  <c r="O69" i="32" s="1"/>
  <c r="O70" i="32" a="1"/>
  <c r="O70" i="32" s="1"/>
  <c r="O71" i="32" a="1"/>
  <c r="O71" i="32" s="1"/>
  <c r="O72" i="32" a="1"/>
  <c r="O72" i="32" s="1"/>
  <c r="O73" i="32" a="1"/>
  <c r="O73" i="32" s="1"/>
  <c r="O74" i="32" a="1"/>
  <c r="O74" i="32" s="1"/>
  <c r="O75" i="32" a="1"/>
  <c r="O75" i="32" s="1"/>
  <c r="O76" i="32" a="1"/>
  <c r="O76" i="32" s="1"/>
  <c r="O77" i="32" a="1"/>
  <c r="O77" i="32" s="1"/>
  <c r="O78" i="32" a="1"/>
  <c r="O78" i="32" s="1"/>
  <c r="O79" i="32" a="1"/>
  <c r="O79" i="32" s="1"/>
  <c r="O80" i="32" a="1"/>
  <c r="O80" i="32" s="1"/>
  <c r="O81" i="32" a="1"/>
  <c r="O81" i="32" s="1"/>
  <c r="O82" i="32" a="1"/>
  <c r="O82" i="32" s="1"/>
  <c r="O83" i="32" a="1"/>
  <c r="O83" i="32" s="1"/>
  <c r="O84" i="32" a="1"/>
  <c r="O84" i="32" s="1"/>
  <c r="O85" i="32" a="1"/>
  <c r="O85" i="32" s="1"/>
  <c r="O86" i="32" a="1"/>
  <c r="O86" i="32" s="1"/>
  <c r="O87" i="32" a="1"/>
  <c r="O87" i="32" s="1"/>
  <c r="O88" i="32" a="1"/>
  <c r="O88" i="32" s="1"/>
  <c r="O89" i="32" a="1"/>
  <c r="O89" i="32" s="1"/>
  <c r="O90" i="32" a="1"/>
  <c r="O90" i="32" s="1"/>
  <c r="R22" i="32"/>
  <c r="R23" i="32"/>
  <c r="R24" i="32"/>
  <c r="R25" i="32"/>
  <c r="R26" i="32"/>
  <c r="R27" i="32"/>
  <c r="R28" i="32"/>
  <c r="R29" i="32"/>
  <c r="R30" i="32"/>
  <c r="R31" i="32"/>
  <c r="R32" i="32"/>
  <c r="R33" i="32"/>
  <c r="R34" i="32"/>
  <c r="R35" i="32"/>
  <c r="R36" i="32"/>
  <c r="R37" i="32"/>
  <c r="R38" i="32"/>
  <c r="R39" i="32"/>
  <c r="R41" i="32"/>
  <c r="R42" i="32"/>
  <c r="R43" i="32"/>
  <c r="R44" i="32"/>
  <c r="R45" i="32"/>
  <c r="R46" i="32"/>
  <c r="R47" i="32"/>
  <c r="R48" i="32"/>
  <c r="R50" i="32"/>
  <c r="R51" i="32"/>
  <c r="R52" i="32"/>
  <c r="R54" i="32"/>
  <c r="R55" i="32"/>
  <c r="R56" i="32"/>
  <c r="R57" i="32"/>
  <c r="R58" i="32"/>
  <c r="R59" i="32"/>
  <c r="R60" i="32"/>
  <c r="R61" i="32"/>
  <c r="R62" i="32"/>
  <c r="R63" i="32"/>
  <c r="R64" i="32"/>
  <c r="R65" i="32"/>
  <c r="R66" i="32"/>
  <c r="R67" i="32"/>
  <c r="R68" i="32"/>
  <c r="R69" i="32"/>
  <c r="R70" i="32"/>
  <c r="R71" i="32"/>
  <c r="R72" i="32"/>
  <c r="R73" i="32"/>
  <c r="R75" i="32"/>
  <c r="R76" i="32"/>
  <c r="R77" i="32"/>
  <c r="R78" i="32"/>
  <c r="R79" i="32"/>
  <c r="R80" i="32"/>
  <c r="R81" i="32"/>
  <c r="R82" i="32"/>
  <c r="R83" i="32"/>
  <c r="R84" i="32"/>
  <c r="R85" i="32"/>
  <c r="R86" i="32"/>
  <c r="R87" i="32"/>
  <c r="R88" i="32"/>
  <c r="R89" i="32"/>
  <c r="R90" i="32"/>
  <c r="R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9" i="32"/>
  <c r="F50" i="32"/>
  <c r="F51" i="32"/>
  <c r="F52" i="32"/>
  <c r="F53" i="32"/>
  <c r="F54" i="32"/>
  <c r="F55"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6" i="32"/>
  <c r="F87" i="32"/>
  <c r="F88" i="32"/>
  <c r="F89" i="32"/>
  <c r="F90" i="32"/>
  <c r="F21" i="32"/>
  <c r="E59" i="103"/>
  <c r="F59" i="103"/>
  <c r="E60" i="103"/>
  <c r="F60" i="103"/>
  <c r="E53" i="103"/>
  <c r="F26" i="103" s="1"/>
  <c r="E52" i="103"/>
  <c r="E47" i="103"/>
  <c r="F46" i="103"/>
  <c r="E46" i="103"/>
  <c r="F45" i="103"/>
  <c r="E45" i="103"/>
  <c r="F44" i="103"/>
  <c r="E44" i="103"/>
  <c r="E18" i="103" s="1"/>
  <c r="F43" i="103"/>
  <c r="E43" i="103"/>
  <c r="E29" i="103" s="1"/>
  <c r="E38" i="103"/>
  <c r="F37" i="103"/>
  <c r="E37" i="103"/>
  <c r="F36" i="103"/>
  <c r="E36" i="103"/>
  <c r="F35" i="103"/>
  <c r="E35" i="103"/>
  <c r="F34" i="103"/>
  <c r="E34" i="103"/>
  <c r="B13" i="103"/>
  <c r="B12" i="103"/>
  <c r="C22" i="102"/>
  <c r="C15" i="102"/>
  <c r="L48" i="102"/>
  <c r="L47" i="102"/>
  <c r="L46" i="102"/>
  <c r="L45" i="102"/>
  <c r="L44" i="102"/>
  <c r="L43" i="102"/>
  <c r="L42" i="102"/>
  <c r="L41" i="102"/>
  <c r="L40" i="102"/>
  <c r="L39" i="102"/>
  <c r="M47" i="67"/>
  <c r="M50" i="67"/>
  <c r="M51" i="67"/>
  <c r="J51" i="67"/>
  <c r="J50" i="67"/>
  <c r="J47" i="67"/>
  <c r="E41" i="92"/>
  <c r="E42" i="92"/>
  <c r="E43" i="92"/>
  <c r="E34" i="94"/>
  <c r="E35" i="94"/>
  <c r="E36" i="94"/>
  <c r="M87" i="32" a="1"/>
  <c r="M87" i="32" s="1"/>
  <c r="M22" i="32" a="1"/>
  <c r="M22" i="32" s="1"/>
  <c r="H4" i="53" s="1" a="1"/>
  <c r="H4" i="53" s="1"/>
  <c r="M21" i="32" a="1"/>
  <c r="M21" i="32" s="1"/>
  <c r="M23" i="32" a="1"/>
  <c r="M23" i="32" s="1"/>
  <c r="M24" i="32" a="1"/>
  <c r="M24" i="32" s="1"/>
  <c r="M25" i="32" a="1"/>
  <c r="M25" i="32" s="1"/>
  <c r="M26" i="32" a="1"/>
  <c r="M26" i="32" s="1"/>
  <c r="M27" i="32" a="1"/>
  <c r="M27" i="32" s="1"/>
  <c r="M28" i="32" a="1"/>
  <c r="M28" i="32" s="1"/>
  <c r="M29" i="32" a="1"/>
  <c r="M29" i="32" s="1"/>
  <c r="M30" i="32" a="1"/>
  <c r="M30" i="32" s="1"/>
  <c r="M31" i="32" a="1"/>
  <c r="M31" i="32" s="1"/>
  <c r="M32" i="32" a="1"/>
  <c r="M32" i="32" s="1"/>
  <c r="M33" i="32" a="1"/>
  <c r="M33" i="32" s="1"/>
  <c r="M34" i="32" a="1"/>
  <c r="M34" i="32" s="1"/>
  <c r="M35" i="32" a="1"/>
  <c r="M35" i="32" s="1"/>
  <c r="M36" i="32" a="1"/>
  <c r="M36" i="32" s="1"/>
  <c r="M37" i="32" a="1"/>
  <c r="M37" i="32" s="1"/>
  <c r="M38" i="32" a="1"/>
  <c r="M38" i="32" s="1"/>
  <c r="M39" i="32" a="1"/>
  <c r="M39" i="32" s="1"/>
  <c r="M40" i="32" a="1"/>
  <c r="M40" i="32" s="1"/>
  <c r="M41" i="32" a="1"/>
  <c r="M41" i="32" s="1"/>
  <c r="M42" i="32" a="1"/>
  <c r="M42" i="32" s="1"/>
  <c r="M43" i="32" a="1"/>
  <c r="M43" i="32" s="1"/>
  <c r="M44" i="32" a="1"/>
  <c r="M44" i="32" s="1"/>
  <c r="M45" i="32" a="1"/>
  <c r="M45" i="32" s="1"/>
  <c r="M46" i="32" a="1"/>
  <c r="M46" i="32" s="1"/>
  <c r="M47" i="32" a="1"/>
  <c r="M47" i="32" s="1"/>
  <c r="M48" i="32" a="1"/>
  <c r="M48" i="32" s="1"/>
  <c r="M49" i="32" a="1"/>
  <c r="M49" i="32" s="1"/>
  <c r="M50" i="32" a="1"/>
  <c r="M50" i="32" s="1"/>
  <c r="M51" i="32" a="1"/>
  <c r="M51" i="32" s="1"/>
  <c r="M52" i="32" a="1"/>
  <c r="M52" i="32" s="1"/>
  <c r="M53" i="32" a="1"/>
  <c r="M53" i="32" s="1"/>
  <c r="M54" i="32" a="1"/>
  <c r="M54" i="32" s="1"/>
  <c r="M55" i="32" a="1"/>
  <c r="M55" i="32" s="1"/>
  <c r="M56" i="32" a="1"/>
  <c r="M56" i="32" s="1"/>
  <c r="M57" i="32" a="1"/>
  <c r="M57" i="32" s="1"/>
  <c r="M58" i="32" a="1"/>
  <c r="M58" i="32" s="1"/>
  <c r="M59" i="32" a="1"/>
  <c r="M59" i="32" s="1"/>
  <c r="M60" i="32" a="1"/>
  <c r="M60" i="32" s="1"/>
  <c r="M61" i="32" a="1"/>
  <c r="M61" i="32" s="1"/>
  <c r="M62" i="32" a="1"/>
  <c r="M62" i="32" s="1"/>
  <c r="M63" i="32" a="1"/>
  <c r="M63" i="32" s="1"/>
  <c r="M64" i="32" a="1"/>
  <c r="M64" i="32" s="1"/>
  <c r="M65" i="32" a="1"/>
  <c r="M65" i="32" s="1"/>
  <c r="M66" i="32" a="1"/>
  <c r="M66" i="32" s="1"/>
  <c r="M67" i="32" a="1"/>
  <c r="M67" i="32" s="1"/>
  <c r="M68" i="32" a="1"/>
  <c r="M68" i="32" s="1"/>
  <c r="M69" i="32" a="1"/>
  <c r="M69" i="32" s="1"/>
  <c r="M70" i="32" a="1"/>
  <c r="M70" i="32" s="1"/>
  <c r="M71" i="32" a="1"/>
  <c r="M71" i="32" s="1"/>
  <c r="M72" i="32" a="1"/>
  <c r="M72" i="32" s="1"/>
  <c r="M73" i="32" a="1"/>
  <c r="M73" i="32" s="1"/>
  <c r="M74" i="32" a="1"/>
  <c r="M74" i="32" s="1"/>
  <c r="M75" i="32" a="1"/>
  <c r="M75" i="32" s="1"/>
  <c r="M76" i="32" a="1"/>
  <c r="M76" i="32" s="1"/>
  <c r="M77" i="32" a="1"/>
  <c r="M77" i="32" s="1"/>
  <c r="M78" i="32" a="1"/>
  <c r="M78" i="32" s="1"/>
  <c r="M79" i="32" a="1"/>
  <c r="M79" i="32" s="1"/>
  <c r="M80" i="32" a="1"/>
  <c r="M80" i="32" s="1"/>
  <c r="M81" i="32" a="1"/>
  <c r="M81" i="32" s="1"/>
  <c r="M82" i="32" a="1"/>
  <c r="M82" i="32" s="1"/>
  <c r="M83" i="32" a="1"/>
  <c r="M83" i="32" s="1"/>
  <c r="M84" i="32" a="1"/>
  <c r="M84" i="32" s="1"/>
  <c r="M85" i="32" a="1"/>
  <c r="M85" i="32" s="1"/>
  <c r="M86" i="32" a="1"/>
  <c r="M86" i="32" s="1"/>
  <c r="M88" i="32" a="1"/>
  <c r="M88" i="32" s="1"/>
  <c r="M89" i="32" a="1"/>
  <c r="M89" i="32" s="1"/>
  <c r="M90" i="32" a="1"/>
  <c r="M90" i="32" s="1"/>
  <c r="Q21" i="32" a="1"/>
  <c r="Q21" i="32" s="1"/>
  <c r="Q22" i="32" a="1"/>
  <c r="Q22" i="32" s="1"/>
  <c r="L4" i="53" s="1" a="1"/>
  <c r="L4" i="53" s="1"/>
  <c r="Q23" i="32" a="1"/>
  <c r="Q23" i="32" s="1"/>
  <c r="Q24" i="32" a="1"/>
  <c r="Q24" i="32" s="1"/>
  <c r="Q25" i="32" a="1"/>
  <c r="Q25" i="32" s="1"/>
  <c r="Q26" i="32" a="1"/>
  <c r="Q26" i="32" s="1"/>
  <c r="Q27" i="32" a="1"/>
  <c r="Q27" i="32" s="1"/>
  <c r="Q28" i="32" a="1"/>
  <c r="Q28" i="32" s="1"/>
  <c r="Q29" i="32" a="1"/>
  <c r="Q29" i="32" s="1"/>
  <c r="Q30" i="32" a="1"/>
  <c r="Q30" i="32" s="1"/>
  <c r="Q31" i="32" a="1"/>
  <c r="Q31" i="32" s="1"/>
  <c r="Q32" i="32" a="1"/>
  <c r="Q32" i="32" s="1"/>
  <c r="Q33" i="32" a="1"/>
  <c r="Q33" i="32" s="1"/>
  <c r="Q34" i="32" a="1"/>
  <c r="Q34" i="32" s="1"/>
  <c r="Q35" i="32" a="1"/>
  <c r="Q35" i="32" s="1"/>
  <c r="Q36" i="32" a="1"/>
  <c r="Q36" i="32" s="1"/>
  <c r="Q37" i="32" a="1"/>
  <c r="Q37" i="32" s="1"/>
  <c r="Q38" i="32" a="1"/>
  <c r="Q38" i="32" s="1"/>
  <c r="Q39" i="32" a="1"/>
  <c r="Q39" i="32" s="1"/>
  <c r="Q40" i="32" a="1"/>
  <c r="Q40" i="32" s="1"/>
  <c r="Q41" i="32" a="1"/>
  <c r="Q41" i="32" s="1"/>
  <c r="Q42" i="32" a="1"/>
  <c r="Q42" i="32" s="1"/>
  <c r="Q43" i="32" a="1"/>
  <c r="Q43" i="32" s="1"/>
  <c r="Q44" i="32" a="1"/>
  <c r="Q44" i="32" s="1"/>
  <c r="Q45" i="32" a="1"/>
  <c r="Q45" i="32" s="1"/>
  <c r="Q46" i="32" a="1"/>
  <c r="Q46" i="32" s="1"/>
  <c r="Q47" i="32" a="1"/>
  <c r="Q47" i="32" s="1"/>
  <c r="Q48" i="32" a="1"/>
  <c r="Q48" i="32" s="1"/>
  <c r="Q49" i="32" a="1"/>
  <c r="Q49" i="32" s="1"/>
  <c r="Q50" i="32" a="1"/>
  <c r="Q50" i="32" s="1"/>
  <c r="Q51" i="32" a="1"/>
  <c r="Q51" i="32" s="1"/>
  <c r="Q52" i="32" a="1"/>
  <c r="Q52" i="32" s="1"/>
  <c r="Q53" i="32" a="1"/>
  <c r="Q53" i="32" s="1"/>
  <c r="Q54" i="32" a="1"/>
  <c r="Q54" i="32" s="1"/>
  <c r="Q55" i="32" a="1"/>
  <c r="Q55" i="32" s="1"/>
  <c r="Q56" i="32" a="1"/>
  <c r="Q56" i="32" s="1"/>
  <c r="Q57" i="32" a="1"/>
  <c r="Q57" i="32" s="1"/>
  <c r="Q58" i="32" a="1"/>
  <c r="Q58" i="32" s="1"/>
  <c r="Q59" i="32" a="1"/>
  <c r="Q59" i="32" s="1"/>
  <c r="Q60" i="32" a="1"/>
  <c r="Q60" i="32" s="1"/>
  <c r="Q61" i="32" a="1"/>
  <c r="Q61" i="32" s="1"/>
  <c r="Q62" i="32" a="1"/>
  <c r="Q62" i="32" s="1"/>
  <c r="Q63" i="32" a="1"/>
  <c r="Q63" i="32" s="1"/>
  <c r="Q64" i="32" a="1"/>
  <c r="Q64" i="32" s="1"/>
  <c r="Q65" i="32" a="1"/>
  <c r="Q65" i="32" s="1"/>
  <c r="Q66" i="32" a="1"/>
  <c r="Q66" i="32" s="1"/>
  <c r="Q67" i="32" a="1"/>
  <c r="Q67" i="32" s="1"/>
  <c r="Q68" i="32" a="1"/>
  <c r="Q68" i="32" s="1"/>
  <c r="Q69" i="32" a="1"/>
  <c r="Q69" i="32" s="1"/>
  <c r="Q70" i="32" a="1"/>
  <c r="Q70" i="32" s="1"/>
  <c r="Q71" i="32" a="1"/>
  <c r="Q71" i="32" s="1"/>
  <c r="Q72" i="32" a="1"/>
  <c r="Q72" i="32" s="1"/>
  <c r="Q73" i="32" a="1"/>
  <c r="Q73" i="32" s="1"/>
  <c r="Q74" i="32" a="1"/>
  <c r="Q74" i="32" s="1"/>
  <c r="Q75" i="32" a="1"/>
  <c r="Q75" i="32" s="1"/>
  <c r="Q76" i="32" a="1"/>
  <c r="Q76" i="32" s="1"/>
  <c r="Q77" i="32" a="1"/>
  <c r="Q77" i="32" s="1"/>
  <c r="Q78" i="32" a="1"/>
  <c r="Q78" i="32" s="1"/>
  <c r="Q79" i="32" a="1"/>
  <c r="Q79" i="32" s="1"/>
  <c r="Q80" i="32" a="1"/>
  <c r="Q80" i="32" s="1"/>
  <c r="Q81" i="32" a="1"/>
  <c r="Q81" i="32" s="1"/>
  <c r="Q82" i="32" a="1"/>
  <c r="Q82" i="32" s="1"/>
  <c r="Q83" i="32" a="1"/>
  <c r="Q83" i="32" s="1"/>
  <c r="Q84" i="32" a="1"/>
  <c r="Q84" i="32" s="1"/>
  <c r="Q85" i="32" a="1"/>
  <c r="Q85" i="32" s="1"/>
  <c r="Q86" i="32" a="1"/>
  <c r="Q86" i="32" s="1"/>
  <c r="Q87" i="32" a="1"/>
  <c r="Q87" i="32" s="1"/>
  <c r="Q88" i="32" a="1"/>
  <c r="Q88" i="32" s="1"/>
  <c r="Q89" i="32" a="1"/>
  <c r="Q89" i="32" s="1"/>
  <c r="Q90" i="32" a="1"/>
  <c r="Q90" i="32" s="1"/>
  <c r="K21" i="32" a="1"/>
  <c r="K21" i="32" s="1"/>
  <c r="K22" i="32" a="1"/>
  <c r="K22" i="32" s="1"/>
  <c r="F4" i="53" s="1" a="1"/>
  <c r="F4" i="53" s="1"/>
  <c r="K23" i="32" a="1"/>
  <c r="K23" i="32" s="1"/>
  <c r="K24" i="32" a="1"/>
  <c r="K24" i="32" s="1"/>
  <c r="K25" i="32" a="1"/>
  <c r="K25" i="32" s="1"/>
  <c r="K26" i="32" a="1"/>
  <c r="K26" i="32" s="1"/>
  <c r="K27" i="32" a="1"/>
  <c r="K27" i="32" s="1"/>
  <c r="K28" i="32" a="1"/>
  <c r="K28" i="32" s="1"/>
  <c r="K29" i="32" a="1"/>
  <c r="K29" i="32" s="1"/>
  <c r="K30" i="32" a="1"/>
  <c r="K30" i="32" s="1"/>
  <c r="K31" i="32" a="1"/>
  <c r="K31" i="32" s="1"/>
  <c r="K32" i="32" a="1"/>
  <c r="K32" i="32" s="1"/>
  <c r="K33" i="32" a="1"/>
  <c r="K33" i="32" s="1"/>
  <c r="K34" i="32" a="1"/>
  <c r="K34" i="32" s="1"/>
  <c r="K35" i="32" a="1"/>
  <c r="K35" i="32" s="1"/>
  <c r="K36" i="32" a="1"/>
  <c r="K36" i="32" s="1"/>
  <c r="K37" i="32" a="1"/>
  <c r="K37" i="32" s="1"/>
  <c r="K38" i="32" a="1"/>
  <c r="K38" i="32" s="1"/>
  <c r="K39" i="32" a="1"/>
  <c r="K39" i="32" s="1"/>
  <c r="K40" i="32" a="1"/>
  <c r="K40" i="32" s="1"/>
  <c r="K41" i="32" a="1"/>
  <c r="K41" i="32" s="1"/>
  <c r="K42" i="32" a="1"/>
  <c r="K42" i="32" s="1"/>
  <c r="K43" i="32" a="1"/>
  <c r="K43" i="32" s="1"/>
  <c r="K44" i="32" a="1"/>
  <c r="K44" i="32" s="1"/>
  <c r="K45" i="32" a="1"/>
  <c r="K45" i="32" s="1"/>
  <c r="K46" i="32" a="1"/>
  <c r="K46" i="32" s="1"/>
  <c r="K47" i="32" a="1"/>
  <c r="K47" i="32" s="1"/>
  <c r="K48" i="32" a="1"/>
  <c r="K48" i="32" s="1"/>
  <c r="K49" i="32" a="1"/>
  <c r="K49" i="32" s="1"/>
  <c r="K50" i="32" a="1"/>
  <c r="K50" i="32" s="1"/>
  <c r="K51" i="32" a="1"/>
  <c r="K51" i="32" s="1"/>
  <c r="K52" i="32" a="1"/>
  <c r="K52" i="32" s="1"/>
  <c r="K53" i="32" a="1"/>
  <c r="K53" i="32" s="1"/>
  <c r="K54" i="32" a="1"/>
  <c r="K54" i="32" s="1"/>
  <c r="K55" i="32" a="1"/>
  <c r="K55" i="32" s="1"/>
  <c r="K56" i="32" a="1"/>
  <c r="K56" i="32" s="1"/>
  <c r="K57" i="32" a="1"/>
  <c r="K57" i="32" s="1"/>
  <c r="K58" i="32" a="1"/>
  <c r="K58" i="32" s="1"/>
  <c r="K59" i="32" a="1"/>
  <c r="K59" i="32" s="1"/>
  <c r="K60" i="32" a="1"/>
  <c r="K60" i="32" s="1"/>
  <c r="K61" i="32" a="1"/>
  <c r="K61" i="32" s="1"/>
  <c r="K62" i="32" a="1"/>
  <c r="K62" i="32" s="1"/>
  <c r="K63" i="32" a="1"/>
  <c r="K63" i="32" s="1"/>
  <c r="K64" i="32" a="1"/>
  <c r="K64" i="32" s="1"/>
  <c r="K65" i="32" a="1"/>
  <c r="K65" i="32" s="1"/>
  <c r="K66" i="32" a="1"/>
  <c r="K66" i="32" s="1"/>
  <c r="K67" i="32" a="1"/>
  <c r="K67" i="32" s="1"/>
  <c r="K68" i="32" a="1"/>
  <c r="K68" i="32" s="1"/>
  <c r="K69" i="32" a="1"/>
  <c r="K69" i="32" s="1"/>
  <c r="K70" i="32" a="1"/>
  <c r="K70" i="32" s="1"/>
  <c r="K71" i="32" a="1"/>
  <c r="K71" i="32" s="1"/>
  <c r="K72" i="32" a="1"/>
  <c r="K72" i="32" s="1"/>
  <c r="K73" i="32" a="1"/>
  <c r="K73" i="32" s="1"/>
  <c r="K74" i="32" a="1"/>
  <c r="K74" i="32" s="1"/>
  <c r="K75" i="32" a="1"/>
  <c r="K75" i="32" s="1"/>
  <c r="K76" i="32" a="1"/>
  <c r="K76" i="32" s="1"/>
  <c r="K77" i="32" a="1"/>
  <c r="K77" i="32" s="1"/>
  <c r="K78" i="32" a="1"/>
  <c r="K78" i="32" s="1"/>
  <c r="K79" i="32" a="1"/>
  <c r="K79" i="32" s="1"/>
  <c r="K80" i="32" a="1"/>
  <c r="K80" i="32" s="1"/>
  <c r="K81" i="32" a="1"/>
  <c r="K81" i="32" s="1"/>
  <c r="K82" i="32" a="1"/>
  <c r="K82" i="32" s="1"/>
  <c r="K83" i="32" a="1"/>
  <c r="K83" i="32" s="1"/>
  <c r="K84" i="32" a="1"/>
  <c r="K84" i="32" s="1"/>
  <c r="K85" i="32" a="1"/>
  <c r="K85" i="32" s="1"/>
  <c r="K86" i="32" a="1"/>
  <c r="K86" i="32" s="1"/>
  <c r="K87" i="32" a="1"/>
  <c r="K87" i="32" s="1"/>
  <c r="K88" i="32" a="1"/>
  <c r="K88" i="32" s="1"/>
  <c r="K89" i="32" a="1"/>
  <c r="K89" i="32" s="1"/>
  <c r="K90" i="32" a="1"/>
  <c r="K90" i="32" s="1"/>
  <c r="I21" i="32" a="1"/>
  <c r="I21" i="32" s="1"/>
  <c r="I22" i="32" a="1"/>
  <c r="I22" i="32" s="1"/>
  <c r="D4" i="53" s="1" a="1"/>
  <c r="D4" i="53" s="1"/>
  <c r="I23" i="32" a="1"/>
  <c r="I23" i="32" s="1"/>
  <c r="I24" i="32" a="1"/>
  <c r="I24" i="32" s="1"/>
  <c r="I25" i="32" a="1"/>
  <c r="I25" i="32" s="1"/>
  <c r="I26" i="32" a="1"/>
  <c r="I26" i="32" s="1"/>
  <c r="I27" i="32" a="1"/>
  <c r="I27" i="32" s="1"/>
  <c r="I28" i="32" a="1"/>
  <c r="I28" i="32" s="1"/>
  <c r="I29" i="32" a="1"/>
  <c r="I29" i="32" s="1"/>
  <c r="I30" i="32" a="1"/>
  <c r="I30" i="32" s="1"/>
  <c r="I31" i="32" a="1"/>
  <c r="I31" i="32" s="1"/>
  <c r="I32" i="32" a="1"/>
  <c r="I32" i="32" s="1"/>
  <c r="I33" i="32" a="1"/>
  <c r="I33" i="32" s="1"/>
  <c r="I34" i="32" a="1"/>
  <c r="I34" i="32" s="1"/>
  <c r="I35" i="32" a="1"/>
  <c r="I35" i="32" s="1"/>
  <c r="I36" i="32" a="1"/>
  <c r="I36" i="32" s="1"/>
  <c r="I37" i="32" a="1"/>
  <c r="I37" i="32" s="1"/>
  <c r="I38" i="32" a="1"/>
  <c r="I38" i="32" s="1"/>
  <c r="I39" i="32" a="1"/>
  <c r="I39" i="32" s="1"/>
  <c r="I40" i="32" a="1"/>
  <c r="I40" i="32" s="1"/>
  <c r="I41" i="32" a="1"/>
  <c r="I41" i="32" s="1"/>
  <c r="I42" i="32" a="1"/>
  <c r="I42" i="32" s="1"/>
  <c r="I43" i="32" a="1"/>
  <c r="I43" i="32" s="1"/>
  <c r="I44" i="32" a="1"/>
  <c r="I44" i="32" s="1"/>
  <c r="I45" i="32" a="1"/>
  <c r="I45" i="32" s="1"/>
  <c r="I46" i="32" a="1"/>
  <c r="I46" i="32" s="1"/>
  <c r="I47" i="32" a="1"/>
  <c r="I47" i="32" s="1"/>
  <c r="I48" i="32" a="1"/>
  <c r="I48" i="32" s="1"/>
  <c r="I49" i="32" a="1"/>
  <c r="I49" i="32" s="1"/>
  <c r="I50" i="32" a="1"/>
  <c r="I50" i="32" s="1"/>
  <c r="I51" i="32" a="1"/>
  <c r="I51" i="32" s="1"/>
  <c r="I52" i="32" a="1"/>
  <c r="I52" i="32" s="1"/>
  <c r="I53" i="32" a="1"/>
  <c r="I53" i="32" s="1"/>
  <c r="I54" i="32" a="1"/>
  <c r="I54" i="32" s="1"/>
  <c r="I55" i="32" a="1"/>
  <c r="I55" i="32" s="1"/>
  <c r="I56" i="32" a="1"/>
  <c r="I56" i="32" s="1"/>
  <c r="I57" i="32" a="1"/>
  <c r="I57" i="32" s="1"/>
  <c r="I58" i="32" a="1"/>
  <c r="I58" i="32" s="1"/>
  <c r="I59" i="32" a="1"/>
  <c r="I59" i="32" s="1"/>
  <c r="I60" i="32" a="1"/>
  <c r="I60" i="32" s="1"/>
  <c r="I61" i="32" a="1"/>
  <c r="I61" i="32" s="1"/>
  <c r="I62" i="32" a="1"/>
  <c r="I62" i="32" s="1"/>
  <c r="I63" i="32" a="1"/>
  <c r="I63" i="32" s="1"/>
  <c r="I64" i="32" a="1"/>
  <c r="I64" i="32" s="1"/>
  <c r="I65" i="32" a="1"/>
  <c r="I65" i="32" s="1"/>
  <c r="I66" i="32" a="1"/>
  <c r="I66" i="32" s="1"/>
  <c r="I67" i="32" a="1"/>
  <c r="I67" i="32" s="1"/>
  <c r="I68" i="32" a="1"/>
  <c r="I68" i="32" s="1"/>
  <c r="I69" i="32" a="1"/>
  <c r="I69" i="32" s="1"/>
  <c r="I70" i="32" a="1"/>
  <c r="I70" i="32" s="1"/>
  <c r="I71" i="32" a="1"/>
  <c r="I71" i="32" s="1"/>
  <c r="I72" i="32" a="1"/>
  <c r="I72" i="32" s="1"/>
  <c r="I73" i="32" a="1"/>
  <c r="I73" i="32" s="1"/>
  <c r="I74" i="32" a="1"/>
  <c r="I74" i="32" s="1"/>
  <c r="I75" i="32" a="1"/>
  <c r="I75" i="32" s="1"/>
  <c r="I76" i="32" a="1"/>
  <c r="I76" i="32" s="1"/>
  <c r="I77" i="32" a="1"/>
  <c r="I77" i="32" s="1"/>
  <c r="I78" i="32" a="1"/>
  <c r="I78" i="32" s="1"/>
  <c r="I79" i="32" a="1"/>
  <c r="I79" i="32" s="1"/>
  <c r="I80" i="32" a="1"/>
  <c r="I80" i="32" s="1"/>
  <c r="I81" i="32" a="1"/>
  <c r="I81" i="32" s="1"/>
  <c r="I82" i="32" a="1"/>
  <c r="I82" i="32" s="1"/>
  <c r="I83" i="32" a="1"/>
  <c r="I83" i="32" s="1"/>
  <c r="I84" i="32" a="1"/>
  <c r="I84" i="32" s="1"/>
  <c r="I85" i="32" a="1"/>
  <c r="I85" i="32" s="1"/>
  <c r="I86" i="32" a="1"/>
  <c r="I86" i="32" s="1"/>
  <c r="I87" i="32" a="1"/>
  <c r="I87" i="32" s="1"/>
  <c r="I88" i="32" a="1"/>
  <c r="I88" i="32" s="1"/>
  <c r="I89" i="32" a="1"/>
  <c r="I89" i="32" s="1"/>
  <c r="I90" i="32" a="1"/>
  <c r="I90" i="32" s="1"/>
  <c r="G21" i="32" a="1"/>
  <c r="G21" i="32" s="1"/>
  <c r="G22" i="32" a="1"/>
  <c r="G22" i="32" s="1"/>
  <c r="B4" i="53" s="1" a="1"/>
  <c r="B4" i="53" s="1"/>
  <c r="G23" i="32" a="1"/>
  <c r="G23" i="32" s="1"/>
  <c r="G24" i="32" a="1"/>
  <c r="G24" i="32" s="1"/>
  <c r="G25" i="32" a="1"/>
  <c r="G25" i="32" s="1"/>
  <c r="G26" i="32" a="1"/>
  <c r="G26" i="32" s="1"/>
  <c r="G27" i="32" a="1"/>
  <c r="G27" i="32" s="1"/>
  <c r="G28" i="32" a="1"/>
  <c r="G28" i="32" s="1"/>
  <c r="G29" i="32" a="1"/>
  <c r="G29" i="32" s="1"/>
  <c r="G30" i="32" a="1"/>
  <c r="G30" i="32" s="1"/>
  <c r="G31" i="32" a="1"/>
  <c r="G31" i="32" s="1"/>
  <c r="G32" i="32" a="1"/>
  <c r="G32" i="32" s="1"/>
  <c r="G33" i="32" a="1"/>
  <c r="G33" i="32" s="1"/>
  <c r="G34" i="32" a="1"/>
  <c r="G34" i="32" s="1"/>
  <c r="G35" i="32" a="1"/>
  <c r="G35" i="32" s="1"/>
  <c r="G36" i="32" a="1"/>
  <c r="G36" i="32" s="1"/>
  <c r="G37" i="32" a="1"/>
  <c r="G37" i="32" s="1"/>
  <c r="G38" i="32" a="1"/>
  <c r="G38" i="32" s="1"/>
  <c r="G39" i="32" a="1"/>
  <c r="G39" i="32" s="1"/>
  <c r="G40" i="32" a="1"/>
  <c r="G40" i="32" s="1"/>
  <c r="G41" i="32" a="1"/>
  <c r="G41" i="32" s="1"/>
  <c r="G42" i="32" a="1"/>
  <c r="G42" i="32" s="1"/>
  <c r="G43" i="32" a="1"/>
  <c r="G43" i="32" s="1"/>
  <c r="G44" i="32" a="1"/>
  <c r="G44" i="32" s="1"/>
  <c r="G45" i="32" a="1"/>
  <c r="G45" i="32" s="1"/>
  <c r="G46" i="32" a="1"/>
  <c r="G46" i="32" s="1"/>
  <c r="G47" i="32" a="1"/>
  <c r="G47" i="32" s="1"/>
  <c r="G48" i="32" a="1"/>
  <c r="G48" i="32" s="1"/>
  <c r="G49" i="32" a="1"/>
  <c r="G49" i="32" s="1"/>
  <c r="G50" i="32" a="1"/>
  <c r="G50" i="32" s="1"/>
  <c r="G51" i="32" a="1"/>
  <c r="G51" i="32" s="1"/>
  <c r="G52" i="32" a="1"/>
  <c r="G52" i="32" s="1"/>
  <c r="G53" i="32" a="1"/>
  <c r="G53" i="32" s="1"/>
  <c r="G54" i="32" a="1"/>
  <c r="G54" i="32" s="1"/>
  <c r="G55" i="32" a="1"/>
  <c r="G55" i="32" s="1"/>
  <c r="G56" i="32" a="1"/>
  <c r="G56" i="32" s="1"/>
  <c r="G57" i="32" a="1"/>
  <c r="G57" i="32" s="1"/>
  <c r="G58" i="32" a="1"/>
  <c r="G58" i="32" s="1"/>
  <c r="G59" i="32" a="1"/>
  <c r="G59" i="32" s="1"/>
  <c r="G60" i="32" a="1"/>
  <c r="G60" i="32" s="1"/>
  <c r="G61" i="32" a="1"/>
  <c r="G61" i="32" s="1"/>
  <c r="G62" i="32" a="1"/>
  <c r="G62" i="32" s="1"/>
  <c r="G63" i="32" a="1"/>
  <c r="G63" i="32" s="1"/>
  <c r="G64" i="32" a="1"/>
  <c r="G64" i="32" s="1"/>
  <c r="G65" i="32" a="1"/>
  <c r="G65" i="32" s="1"/>
  <c r="G66" i="32" a="1"/>
  <c r="G66" i="32" s="1"/>
  <c r="G67" i="32" a="1"/>
  <c r="G67" i="32" s="1"/>
  <c r="G68" i="32" a="1"/>
  <c r="G68" i="32" s="1"/>
  <c r="G69" i="32" a="1"/>
  <c r="G69" i="32" s="1"/>
  <c r="G70" i="32" a="1"/>
  <c r="G70" i="32" s="1"/>
  <c r="G71" i="32" a="1"/>
  <c r="G71" i="32" s="1"/>
  <c r="G72" i="32" a="1"/>
  <c r="G72" i="32" s="1"/>
  <c r="G73" i="32" a="1"/>
  <c r="G73" i="32" s="1"/>
  <c r="G74" i="32" a="1"/>
  <c r="G74" i="32" s="1"/>
  <c r="G75" i="32" a="1"/>
  <c r="G75" i="32" s="1"/>
  <c r="G76" i="32" a="1"/>
  <c r="G76" i="32" s="1"/>
  <c r="G77" i="32" a="1"/>
  <c r="G77" i="32" s="1"/>
  <c r="G78" i="32" a="1"/>
  <c r="G78" i="32" s="1"/>
  <c r="G79" i="32" a="1"/>
  <c r="G79" i="32" s="1"/>
  <c r="G80" i="32" a="1"/>
  <c r="G80" i="32" s="1"/>
  <c r="G81" i="32" a="1"/>
  <c r="G81" i="32" s="1"/>
  <c r="G82" i="32" a="1"/>
  <c r="G82" i="32" s="1"/>
  <c r="G83" i="32" a="1"/>
  <c r="G83" i="32" s="1"/>
  <c r="G84" i="32" a="1"/>
  <c r="G84" i="32" s="1"/>
  <c r="G85" i="32" a="1"/>
  <c r="G85" i="32" s="1"/>
  <c r="G86" i="32" a="1"/>
  <c r="G86" i="32" s="1"/>
  <c r="G87" i="32" a="1"/>
  <c r="G87" i="32" s="1"/>
  <c r="G88" i="32" a="1"/>
  <c r="G88" i="32" s="1"/>
  <c r="G89" i="32" a="1"/>
  <c r="G89" i="32" s="1"/>
  <c r="G90" i="32" a="1"/>
  <c r="G90" i="32" s="1"/>
  <c r="E17" i="103" l="1"/>
  <c r="F29" i="103"/>
  <c r="E23" i="103"/>
  <c r="E25" i="103"/>
  <c r="E28" i="103"/>
  <c r="D23" i="103"/>
  <c r="F18" i="103"/>
  <c r="F23" i="103"/>
  <c r="F27" i="103"/>
  <c r="D24" i="103"/>
  <c r="E16" i="103"/>
  <c r="E19" i="103"/>
  <c r="E24" i="103"/>
  <c r="D17" i="103"/>
  <c r="F19" i="103"/>
  <c r="F24" i="103"/>
  <c r="F28" i="103"/>
  <c r="F20" i="103"/>
  <c r="D25" i="103"/>
  <c r="D29" i="103"/>
  <c r="D16" i="103"/>
  <c r="F16" i="103"/>
  <c r="F17" i="103"/>
  <c r="F22" i="103"/>
  <c r="D19" i="103"/>
  <c r="D28" i="103"/>
  <c r="D18" i="103"/>
  <c r="F25" i="103"/>
  <c r="G16" i="103"/>
  <c r="G17" i="103"/>
  <c r="G18" i="103"/>
  <c r="G19" i="103"/>
  <c r="G21" i="103"/>
  <c r="G22" i="103"/>
  <c r="G23" i="103"/>
  <c r="G24" i="103"/>
  <c r="G25" i="103"/>
  <c r="G27" i="103"/>
  <c r="G28" i="103"/>
  <c r="G29" i="103"/>
  <c r="E16" i="92"/>
  <c r="E17" i="92"/>
  <c r="E18" i="92"/>
  <c r="E19" i="92"/>
  <c r="E23" i="92"/>
  <c r="E24" i="92"/>
  <c r="E25" i="92"/>
  <c r="E28" i="92"/>
  <c r="E29" i="92"/>
  <c r="E34" i="90"/>
  <c r="E35" i="90"/>
  <c r="E36" i="90"/>
  <c r="E42" i="87"/>
  <c r="E43" i="87"/>
  <c r="E53" i="92"/>
  <c r="E48" i="92"/>
  <c r="E34" i="92"/>
  <c r="E35" i="92"/>
  <c r="E36" i="92"/>
  <c r="P36" i="84"/>
  <c r="P37" i="84"/>
  <c r="P38" i="84"/>
  <c r="P39" i="84"/>
  <c r="P40" i="84"/>
  <c r="P41" i="84"/>
  <c r="P42" i="84"/>
  <c r="P43" i="84"/>
  <c r="P44" i="84"/>
  <c r="P45" i="84"/>
  <c r="P46" i="84"/>
  <c r="P15" i="84"/>
  <c r="P16" i="84"/>
  <c r="P17" i="84"/>
  <c r="P18" i="84"/>
  <c r="P19" i="84"/>
  <c r="P20" i="84"/>
  <c r="P21" i="84"/>
  <c r="P22" i="84"/>
  <c r="P23" i="84"/>
  <c r="P24" i="84"/>
  <c r="P25" i="84"/>
  <c r="O15" i="78"/>
  <c r="O16" i="78"/>
  <c r="O17" i="78"/>
  <c r="O18" i="78"/>
  <c r="O19" i="78"/>
  <c r="O20" i="78"/>
  <c r="O21" i="78"/>
  <c r="O22" i="78"/>
  <c r="O23" i="78"/>
  <c r="O24" i="78"/>
  <c r="O25" i="78"/>
  <c r="G33" i="83"/>
  <c r="G34" i="83"/>
  <c r="G35" i="83"/>
  <c r="G24" i="83"/>
  <c r="G25" i="83"/>
  <c r="G26" i="83"/>
  <c r="G15" i="83"/>
  <c r="G16" i="83"/>
  <c r="G17" i="83"/>
  <c r="B9" i="100"/>
  <c r="B8" i="100"/>
  <c r="B13" i="92"/>
  <c r="B13" i="94"/>
  <c r="B13" i="87"/>
  <c r="B13" i="67"/>
  <c r="B13" i="72"/>
  <c r="B13" i="90"/>
  <c r="B12" i="92"/>
  <c r="B12" i="94"/>
  <c r="B12" i="87"/>
  <c r="B12" i="67"/>
  <c r="B12" i="72"/>
  <c r="B12" i="90"/>
  <c r="C23" i="103" l="1"/>
  <c r="H32" i="98" s="1"/>
  <c r="C98" i="98" s="1"/>
  <c r="C17" i="103"/>
  <c r="H26" i="98" s="1"/>
  <c r="C56" i="98" s="1"/>
  <c r="C25" i="103"/>
  <c r="H34" i="98" s="1"/>
  <c r="C237" i="98" s="1"/>
  <c r="C24" i="103"/>
  <c r="H33" i="98" s="1"/>
  <c r="C105" i="98" s="1"/>
  <c r="C29" i="103"/>
  <c r="H38" i="98" s="1"/>
  <c r="C140" i="98" s="1"/>
  <c r="C16" i="103"/>
  <c r="H25" i="98" s="1"/>
  <c r="C49" i="98" s="1"/>
  <c r="C19" i="103"/>
  <c r="H28" i="98" s="1"/>
  <c r="C231" i="98" s="1"/>
  <c r="C28" i="103"/>
  <c r="H37" i="98" s="1"/>
  <c r="C240" i="98" s="1"/>
  <c r="C18" i="103"/>
  <c r="H27" i="98" s="1"/>
  <c r="C63" i="98" s="1"/>
  <c r="E16" i="87"/>
  <c r="E17" i="87"/>
  <c r="E18" i="87"/>
  <c r="E19" i="87"/>
  <c r="E20" i="87"/>
  <c r="E21" i="87"/>
  <c r="E22" i="87"/>
  <c r="E23" i="87"/>
  <c r="E24" i="87"/>
  <c r="E25" i="87"/>
  <c r="E26" i="87"/>
  <c r="E28" i="87"/>
  <c r="E29" i="87"/>
  <c r="D16" i="87"/>
  <c r="D17" i="87"/>
  <c r="D18" i="87"/>
  <c r="D19" i="87"/>
  <c r="D20" i="87"/>
  <c r="D21" i="87"/>
  <c r="D22" i="87"/>
  <c r="D23" i="87"/>
  <c r="D24" i="87"/>
  <c r="D25" i="87"/>
  <c r="D26" i="87"/>
  <c r="D28" i="87"/>
  <c r="D29" i="87"/>
  <c r="C235" i="98" l="1"/>
  <c r="C229" i="98"/>
  <c r="C70" i="98"/>
  <c r="C112" i="98"/>
  <c r="C241" i="98"/>
  <c r="C236" i="98"/>
  <c r="C228" i="98"/>
  <c r="C230" i="98"/>
  <c r="C133" i="98"/>
  <c r="P21" i="32" l="1"/>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5" i="32"/>
  <c r="P56" i="32"/>
  <c r="P57" i="32"/>
  <c r="P58" i="32"/>
  <c r="P59" i="32"/>
  <c r="P60" i="32"/>
  <c r="P61" i="32"/>
  <c r="P62" i="32"/>
  <c r="P63" i="32"/>
  <c r="P64" i="32"/>
  <c r="P65" i="32"/>
  <c r="P66" i="32"/>
  <c r="P67" i="32"/>
  <c r="P68" i="32"/>
  <c r="P69" i="32"/>
  <c r="P70" i="32"/>
  <c r="P71" i="32"/>
  <c r="P72" i="32"/>
  <c r="P73" i="32"/>
  <c r="P74" i="32"/>
  <c r="P75" i="32"/>
  <c r="P76" i="32"/>
  <c r="P77" i="32"/>
  <c r="P78" i="32"/>
  <c r="P79" i="32"/>
  <c r="P80" i="32"/>
  <c r="P81" i="32"/>
  <c r="P82" i="32"/>
  <c r="P83" i="32"/>
  <c r="P84" i="32"/>
  <c r="P85" i="32"/>
  <c r="P86" i="32"/>
  <c r="P87" i="32"/>
  <c r="P88" i="32"/>
  <c r="P89" i="32"/>
  <c r="P90" i="32"/>
  <c r="H22" i="32"/>
  <c r="D22" i="32" s="1"/>
  <c r="H23" i="32"/>
  <c r="D23" i="32" s="1"/>
  <c r="H24" i="32"/>
  <c r="D24" i="32" s="1"/>
  <c r="H25" i="32"/>
  <c r="D25" i="32" s="1"/>
  <c r="H26" i="32"/>
  <c r="D26" i="32" s="1"/>
  <c r="H27" i="32"/>
  <c r="D27" i="32" s="1"/>
  <c r="H28" i="32"/>
  <c r="D28" i="32" s="1"/>
  <c r="H29" i="32"/>
  <c r="D29" i="32" s="1"/>
  <c r="H30" i="32"/>
  <c r="D30" i="32" s="1"/>
  <c r="H31" i="32"/>
  <c r="D31" i="32" s="1"/>
  <c r="H32" i="32"/>
  <c r="D32" i="32" s="1"/>
  <c r="H33" i="32"/>
  <c r="D33" i="32" s="1"/>
  <c r="H34" i="32"/>
  <c r="D34" i="32" s="1"/>
  <c r="H35" i="32"/>
  <c r="D35" i="32" s="1"/>
  <c r="H36" i="32"/>
  <c r="D36" i="32" s="1"/>
  <c r="H37" i="32"/>
  <c r="D37" i="32" s="1"/>
  <c r="H38" i="32"/>
  <c r="D38" i="32" s="1"/>
  <c r="H39" i="32"/>
  <c r="D39" i="32" s="1"/>
  <c r="H40" i="32"/>
  <c r="H41" i="32"/>
  <c r="D41" i="32" s="1"/>
  <c r="H42" i="32"/>
  <c r="D42" i="32" s="1"/>
  <c r="H44" i="32"/>
  <c r="D44" i="32" s="1"/>
  <c r="H45" i="32"/>
  <c r="D45" i="32" s="1"/>
  <c r="H46" i="32"/>
  <c r="D46" i="32" s="1"/>
  <c r="H47" i="32"/>
  <c r="D47" i="32" s="1"/>
  <c r="H48" i="32"/>
  <c r="H49" i="32"/>
  <c r="H50" i="32"/>
  <c r="D50" i="32" s="1"/>
  <c r="H51" i="32"/>
  <c r="D51" i="32" s="1"/>
  <c r="H52" i="32"/>
  <c r="D52" i="32" s="1"/>
  <c r="H53" i="32"/>
  <c r="H54" i="32"/>
  <c r="D54" i="32" s="1"/>
  <c r="H55" i="32"/>
  <c r="D55" i="32" s="1"/>
  <c r="H56" i="32"/>
  <c r="H57" i="32"/>
  <c r="D57" i="32" s="1"/>
  <c r="H58" i="32"/>
  <c r="D58" i="32" s="1"/>
  <c r="H59" i="32"/>
  <c r="D59" i="32" s="1"/>
  <c r="H60" i="32"/>
  <c r="D60" i="32" s="1"/>
  <c r="H61" i="32"/>
  <c r="D61" i="32" s="1"/>
  <c r="H63" i="32"/>
  <c r="D63" i="32" s="1"/>
  <c r="H64" i="32"/>
  <c r="D64" i="32" s="1"/>
  <c r="H65" i="32"/>
  <c r="D65" i="32" s="1"/>
  <c r="H66" i="32"/>
  <c r="D66" i="32" s="1"/>
  <c r="H67" i="32"/>
  <c r="D67" i="32" s="1"/>
  <c r="H68" i="32"/>
  <c r="D68" i="32" s="1"/>
  <c r="H70" i="32"/>
  <c r="D70" i="32" s="1"/>
  <c r="H71" i="32"/>
  <c r="D71" i="32" s="1"/>
  <c r="H72" i="32"/>
  <c r="D72" i="32" s="1"/>
  <c r="H73" i="32"/>
  <c r="D73" i="32" s="1"/>
  <c r="H74" i="32"/>
  <c r="H75" i="32"/>
  <c r="D75" i="32" s="1"/>
  <c r="H76" i="32"/>
  <c r="D76" i="32" s="1"/>
  <c r="H77" i="32"/>
  <c r="D77" i="32" s="1"/>
  <c r="H78" i="32"/>
  <c r="D78" i="32" s="1"/>
  <c r="H79" i="32"/>
  <c r="D79" i="32" s="1"/>
  <c r="H80" i="32"/>
  <c r="D80" i="32" s="1"/>
  <c r="H81" i="32"/>
  <c r="D81" i="32" s="1"/>
  <c r="H82" i="32"/>
  <c r="D82" i="32" s="1"/>
  <c r="H83" i="32"/>
  <c r="D83" i="32" s="1"/>
  <c r="H84" i="32"/>
  <c r="D84" i="32" s="1"/>
  <c r="H85" i="32"/>
  <c r="H86" i="32"/>
  <c r="D86" i="32" s="1"/>
  <c r="H87" i="32"/>
  <c r="D87" i="32" s="1"/>
  <c r="H88" i="32"/>
  <c r="D88" i="32" s="1"/>
  <c r="H89" i="32"/>
  <c r="D89" i="32" s="1"/>
  <c r="H90" i="32"/>
  <c r="D90" i="32" s="1"/>
  <c r="H21" i="32"/>
  <c r="D21" i="32" s="1"/>
  <c r="K46" i="72"/>
  <c r="K47" i="72"/>
  <c r="K48" i="72"/>
  <c r="K49" i="72"/>
  <c r="K50" i="72"/>
  <c r="K35" i="72"/>
  <c r="K36" i="72"/>
  <c r="K37" i="72"/>
  <c r="K38" i="72"/>
  <c r="K39" i="72"/>
  <c r="C13" i="72" l="1"/>
  <c r="C8" i="100" s="1"/>
  <c r="D8" i="100" s="1"/>
  <c r="D23" i="72"/>
  <c r="C111" i="71"/>
  <c r="C109" i="71"/>
  <c r="C110" i="71"/>
  <c r="H25" i="75"/>
  <c r="I25" i="75" s="1"/>
  <c r="H26" i="75"/>
  <c r="I26" i="75" s="1"/>
  <c r="H27" i="75"/>
  <c r="I27" i="75" s="1"/>
  <c r="H28" i="75"/>
  <c r="I28" i="75" s="1"/>
  <c r="H29" i="75"/>
  <c r="I29" i="75" s="1"/>
  <c r="J14" i="75"/>
  <c r="J15" i="75"/>
  <c r="J16" i="75"/>
  <c r="J17" i="75"/>
  <c r="J18" i="75"/>
  <c r="I14" i="75"/>
  <c r="I15" i="75"/>
  <c r="I16" i="75"/>
  <c r="I17" i="75"/>
  <c r="I18" i="75"/>
  <c r="G51" i="84"/>
  <c r="H51" i="84" s="1"/>
  <c r="G52" i="84"/>
  <c r="H52" i="84" s="1"/>
  <c r="G53" i="84"/>
  <c r="H53" i="84" s="1"/>
  <c r="G54" i="84"/>
  <c r="H54" i="84" s="1"/>
  <c r="G55" i="84"/>
  <c r="H55" i="84" s="1"/>
  <c r="G56" i="84"/>
  <c r="H56" i="84" s="1"/>
  <c r="G57" i="84"/>
  <c r="H57" i="84" s="1"/>
  <c r="G58" i="84"/>
  <c r="H58" i="84" s="1"/>
  <c r="G59" i="84"/>
  <c r="H59" i="84" s="1"/>
  <c r="G60" i="84"/>
  <c r="H60" i="84" s="1"/>
  <c r="G61" i="84"/>
  <c r="H61" i="84" s="1"/>
  <c r="D27" i="24"/>
  <c r="D28" i="24"/>
  <c r="D29" i="24"/>
  <c r="D30" i="24"/>
  <c r="D18" i="24"/>
  <c r="D19" i="24"/>
  <c r="D20" i="24"/>
  <c r="G23" i="92"/>
  <c r="F17" i="92"/>
  <c r="F15" i="85" l="1"/>
  <c r="G15" i="85" s="1"/>
  <c r="F35" i="90" s="1"/>
  <c r="C41" i="100" s="1"/>
  <c r="F14" i="85"/>
  <c r="G14" i="85" s="1"/>
  <c r="F34" i="90" s="1"/>
  <c r="C40" i="100" s="1"/>
  <c r="O50" i="67"/>
  <c r="N50" i="67"/>
  <c r="L50" i="67"/>
  <c r="K50" i="67"/>
  <c r="O47" i="67"/>
  <c r="L47" i="67"/>
  <c r="K47" i="67"/>
  <c r="N47" i="67"/>
  <c r="K51" i="67"/>
  <c r="O51" i="67"/>
  <c r="L51" i="67"/>
  <c r="N51" i="67"/>
  <c r="D12" i="24"/>
  <c r="K17" i="75"/>
  <c r="K15" i="75"/>
  <c r="K16" i="75"/>
  <c r="E22" i="72"/>
  <c r="D16" i="72"/>
  <c r="E16" i="67"/>
  <c r="E24" i="67"/>
  <c r="E18" i="67"/>
  <c r="E26" i="67"/>
  <c r="E19" i="67"/>
  <c r="E27" i="67"/>
  <c r="E20" i="67"/>
  <c r="E22" i="67"/>
  <c r="E21" i="67"/>
  <c r="E23" i="67"/>
  <c r="D13" i="24"/>
  <c r="K14" i="75"/>
  <c r="C22" i="94"/>
  <c r="D23" i="67"/>
  <c r="D18" i="67"/>
  <c r="D22" i="72"/>
  <c r="E21" i="72"/>
  <c r="E20" i="72"/>
  <c r="D29" i="72"/>
  <c r="D21" i="72"/>
  <c r="E27" i="72"/>
  <c r="E19" i="72"/>
  <c r="E29" i="72"/>
  <c r="E28" i="72"/>
  <c r="D28" i="72"/>
  <c r="D20" i="72"/>
  <c r="E26" i="72"/>
  <c r="E18" i="72"/>
  <c r="D27" i="72"/>
  <c r="D19" i="72"/>
  <c r="E25" i="72"/>
  <c r="E17" i="72"/>
  <c r="D26" i="72"/>
  <c r="D18" i="72"/>
  <c r="E24" i="72"/>
  <c r="E16" i="72"/>
  <c r="D25" i="72"/>
  <c r="D17" i="72"/>
  <c r="E23" i="72"/>
  <c r="C23" i="72" s="1"/>
  <c r="F32" i="98" s="1"/>
  <c r="D24" i="72"/>
  <c r="D25" i="67"/>
  <c r="D24" i="67"/>
  <c r="D16" i="67"/>
  <c r="D22" i="67"/>
  <c r="D29" i="67"/>
  <c r="D21" i="67"/>
  <c r="D28" i="67"/>
  <c r="D20" i="67"/>
  <c r="D27" i="67"/>
  <c r="D19" i="67"/>
  <c r="D26" i="67"/>
  <c r="C19" i="90"/>
  <c r="G28" i="98" s="1"/>
  <c r="C26" i="90"/>
  <c r="G35" i="98" s="1"/>
  <c r="C18" i="90"/>
  <c r="G27" i="98" s="1"/>
  <c r="C25" i="90"/>
  <c r="G34" i="98" s="1"/>
  <c r="C17" i="90"/>
  <c r="G26" i="98" s="1"/>
  <c r="C24" i="90"/>
  <c r="G33" i="98" s="1"/>
  <c r="C27" i="90"/>
  <c r="G36" i="98" s="1"/>
  <c r="C23" i="90"/>
  <c r="G32" i="98" s="1"/>
  <c r="C29" i="90"/>
  <c r="G38" i="98" s="1"/>
  <c r="C21" i="90"/>
  <c r="G30" i="98" s="1"/>
  <c r="C16" i="90"/>
  <c r="G25" i="98" s="1"/>
  <c r="C28" i="90"/>
  <c r="G37" i="98" s="1"/>
  <c r="C20" i="90"/>
  <c r="G29" i="98" s="1"/>
  <c r="G20" i="92"/>
  <c r="G21" i="92"/>
  <c r="F27" i="92"/>
  <c r="F18" i="92"/>
  <c r="D29" i="92"/>
  <c r="C21" i="94"/>
  <c r="C30" i="98" s="1"/>
  <c r="C29" i="94"/>
  <c r="C38" i="98" s="1"/>
  <c r="C28" i="94"/>
  <c r="C37" i="98" s="1"/>
  <c r="C27" i="94"/>
  <c r="C36" i="98" s="1"/>
  <c r="C19" i="94"/>
  <c r="C28" i="98" s="1"/>
  <c r="C18" i="94"/>
  <c r="C27" i="98" s="1"/>
  <c r="C17" i="94"/>
  <c r="C26" i="98" s="1"/>
  <c r="C24" i="94"/>
  <c r="C33" i="98" s="1"/>
  <c r="C16" i="94"/>
  <c r="C25" i="98" s="1"/>
  <c r="C26" i="94"/>
  <c r="C35" i="98" s="1"/>
  <c r="C23" i="94"/>
  <c r="C32" i="98" s="1"/>
  <c r="F16" i="92"/>
  <c r="F25" i="92"/>
  <c r="G29" i="92"/>
  <c r="F24" i="92"/>
  <c r="G28" i="92"/>
  <c r="G19" i="92"/>
  <c r="F26" i="92"/>
  <c r="F23" i="92"/>
  <c r="G27" i="92"/>
  <c r="G18" i="92"/>
  <c r="G26" i="92"/>
  <c r="G17" i="92"/>
  <c r="D23" i="92"/>
  <c r="F29" i="92"/>
  <c r="F21" i="92"/>
  <c r="G25" i="92"/>
  <c r="F28" i="92"/>
  <c r="F19" i="92"/>
  <c r="G24" i="92"/>
  <c r="F16" i="85"/>
  <c r="G16" i="85" s="1"/>
  <c r="F36" i="90" s="1"/>
  <c r="C42" i="100" s="1"/>
  <c r="K18" i="75"/>
  <c r="G16" i="92"/>
  <c r="F20" i="92"/>
  <c r="D18" i="92"/>
  <c r="D28" i="92"/>
  <c r="D19" i="92"/>
  <c r="D25" i="92"/>
  <c r="D17" i="92"/>
  <c r="D24" i="92"/>
  <c r="D16" i="92"/>
  <c r="D32" i="102" l="1"/>
  <c r="E15" i="102"/>
  <c r="D31" i="102"/>
  <c r="E24" i="102"/>
  <c r="E23" i="102"/>
  <c r="E22" i="102"/>
  <c r="E17" i="102"/>
  <c r="E16" i="102"/>
  <c r="E22" i="22"/>
  <c r="E23" i="22"/>
  <c r="E24" i="22"/>
  <c r="I24" i="22" s="1"/>
  <c r="C27" i="72"/>
  <c r="F36" i="98" s="1"/>
  <c r="C211" i="98" s="1"/>
  <c r="E25" i="67"/>
  <c r="C13" i="90"/>
  <c r="C9" i="100" s="1"/>
  <c r="D9" i="100" s="1"/>
  <c r="C20" i="72"/>
  <c r="F29" i="98" s="1"/>
  <c r="C22" i="72"/>
  <c r="F31" i="98" s="1"/>
  <c r="C89" i="98" s="1"/>
  <c r="C29" i="72"/>
  <c r="F38" i="98" s="1"/>
  <c r="C138" i="98" s="1"/>
  <c r="C31" i="98"/>
  <c r="C86" i="98" s="1"/>
  <c r="C18" i="72"/>
  <c r="F27" i="98" s="1"/>
  <c r="C202" i="98" s="1"/>
  <c r="C26" i="72"/>
  <c r="F35" i="98" s="1"/>
  <c r="C210" i="98" s="1"/>
  <c r="C19" i="72"/>
  <c r="C24" i="72"/>
  <c r="F33" i="98" s="1"/>
  <c r="C103" i="98" s="1"/>
  <c r="C23" i="87"/>
  <c r="C23" i="67"/>
  <c r="C21" i="67"/>
  <c r="C22" i="90"/>
  <c r="P54" i="32"/>
  <c r="C17" i="72"/>
  <c r="F26" i="98" s="1"/>
  <c r="C28" i="72"/>
  <c r="F37" i="98" s="1"/>
  <c r="C21" i="87"/>
  <c r="C29" i="87"/>
  <c r="C19" i="87"/>
  <c r="E17" i="22"/>
  <c r="I17" i="22" s="1"/>
  <c r="E30" i="22"/>
  <c r="E16" i="22"/>
  <c r="E15" i="22"/>
  <c r="E36" i="22"/>
  <c r="C18" i="67"/>
  <c r="C25" i="72"/>
  <c r="C16" i="72"/>
  <c r="F25" i="98" s="1"/>
  <c r="E30" i="72"/>
  <c r="C39" i="100" s="1"/>
  <c r="C21" i="72"/>
  <c r="D30" i="72"/>
  <c r="C38" i="100" s="1"/>
  <c r="C16" i="67"/>
  <c r="C125" i="98"/>
  <c r="C225" i="98"/>
  <c r="C132" i="98"/>
  <c r="C226" i="98"/>
  <c r="C55" i="98"/>
  <c r="C215" i="98"/>
  <c r="C104" i="98"/>
  <c r="C222" i="98"/>
  <c r="C111" i="98"/>
  <c r="C223" i="98"/>
  <c r="C83" i="98"/>
  <c r="C219" i="98"/>
  <c r="C62" i="98"/>
  <c r="C216" i="98"/>
  <c r="C76" i="98"/>
  <c r="C218" i="98"/>
  <c r="C139" i="98"/>
  <c r="C227" i="98"/>
  <c r="C118" i="98"/>
  <c r="C224" i="98"/>
  <c r="C97" i="98"/>
  <c r="C221" i="98"/>
  <c r="C217" i="98"/>
  <c r="C69" i="98"/>
  <c r="C96" i="98"/>
  <c r="C207" i="98"/>
  <c r="C20" i="67"/>
  <c r="C22" i="67"/>
  <c r="C121" i="98"/>
  <c r="C169" i="98"/>
  <c r="C58" i="98"/>
  <c r="C160" i="98"/>
  <c r="C161" i="98"/>
  <c r="C65" i="98"/>
  <c r="C93" i="98"/>
  <c r="C165" i="98"/>
  <c r="C128" i="98"/>
  <c r="C170" i="98"/>
  <c r="C114" i="98"/>
  <c r="C168" i="98"/>
  <c r="C135" i="98"/>
  <c r="C171" i="98"/>
  <c r="C79" i="98"/>
  <c r="C163" i="98"/>
  <c r="C100" i="98"/>
  <c r="C166" i="98"/>
  <c r="C51" i="98"/>
  <c r="C159" i="98"/>
  <c r="C24" i="67"/>
  <c r="C27" i="67"/>
  <c r="C19" i="67"/>
  <c r="C26" i="67"/>
  <c r="C24" i="87"/>
  <c r="D33" i="98" s="1"/>
  <c r="C22" i="87"/>
  <c r="D31" i="98" s="1"/>
  <c r="C25" i="87"/>
  <c r="D34" i="98" s="1"/>
  <c r="C28" i="87"/>
  <c r="D37" i="98" s="1"/>
  <c r="C17" i="87"/>
  <c r="D26" i="98" s="1"/>
  <c r="C16" i="87"/>
  <c r="C18" i="87"/>
  <c r="D27" i="98" s="1"/>
  <c r="C18" i="92"/>
  <c r="B27" i="98" s="1"/>
  <c r="C29" i="92"/>
  <c r="B38" i="98" s="1"/>
  <c r="C17" i="92"/>
  <c r="B26" i="98" s="1"/>
  <c r="C19" i="92"/>
  <c r="B28" i="98" s="1"/>
  <c r="C64" i="98" s="1"/>
  <c r="C24" i="92"/>
  <c r="B33" i="98" s="1"/>
  <c r="C28" i="92"/>
  <c r="B37" i="98" s="1"/>
  <c r="C25" i="92"/>
  <c r="B34" i="98" s="1"/>
  <c r="C23" i="92"/>
  <c r="B32" i="98" s="1"/>
  <c r="C16" i="92"/>
  <c r="B25" i="98" s="1"/>
  <c r="C124" i="98" l="1"/>
  <c r="D25" i="98"/>
  <c r="C172" i="98" s="1"/>
  <c r="C75" i="98"/>
  <c r="C204" i="98"/>
  <c r="C206" i="98"/>
  <c r="C117" i="98"/>
  <c r="C213" i="98"/>
  <c r="C164" i="98"/>
  <c r="C61" i="98"/>
  <c r="F34" i="98"/>
  <c r="C110" i="98" s="1"/>
  <c r="C208" i="98"/>
  <c r="F30" i="98"/>
  <c r="C205" i="98" s="1"/>
  <c r="D28" i="98"/>
  <c r="C175" i="98" s="1"/>
  <c r="G31" i="98"/>
  <c r="C220" i="98" s="1"/>
  <c r="D38" i="98"/>
  <c r="C136" i="98" s="1"/>
  <c r="F28" i="98"/>
  <c r="C203" i="98" s="1"/>
  <c r="D30" i="98"/>
  <c r="C177" i="98" s="1"/>
  <c r="D32" i="98"/>
  <c r="C179" i="98" s="1"/>
  <c r="E31" i="98"/>
  <c r="C88" i="98" s="1"/>
  <c r="E35" i="98"/>
  <c r="C196" i="98" s="1"/>
  <c r="E25" i="98"/>
  <c r="C186" i="98" s="1"/>
  <c r="B6" i="98"/>
  <c r="E28" i="98"/>
  <c r="C189" i="98" s="1"/>
  <c r="B9" i="98"/>
  <c r="E29" i="98"/>
  <c r="C74" i="98" s="1"/>
  <c r="E30" i="98"/>
  <c r="C191" i="98" s="1"/>
  <c r="E36" i="98"/>
  <c r="C123" i="98" s="1"/>
  <c r="E33" i="98"/>
  <c r="C194" i="98" s="1"/>
  <c r="B14" i="98"/>
  <c r="E32" i="98"/>
  <c r="C95" i="98" s="1"/>
  <c r="B13" i="98"/>
  <c r="E27" i="98"/>
  <c r="C188" i="98" s="1"/>
  <c r="B8" i="98"/>
  <c r="C11" i="90"/>
  <c r="C30" i="90"/>
  <c r="C131" i="98"/>
  <c r="C212" i="98"/>
  <c r="C144" i="98"/>
  <c r="C30" i="72"/>
  <c r="C11" i="72"/>
  <c r="C48" i="98"/>
  <c r="C214" i="98"/>
  <c r="C54" i="98"/>
  <c r="C201" i="98"/>
  <c r="C44" i="98"/>
  <c r="C158" i="98"/>
  <c r="C87" i="98"/>
  <c r="C178" i="98"/>
  <c r="C59" i="98"/>
  <c r="C174" i="98"/>
  <c r="C108" i="98"/>
  <c r="C181" i="98"/>
  <c r="C129" i="98"/>
  <c r="C184" i="98"/>
  <c r="C101" i="98"/>
  <c r="C180" i="98"/>
  <c r="C52" i="98"/>
  <c r="C173" i="98"/>
  <c r="C127" i="98"/>
  <c r="C156" i="98"/>
  <c r="C50" i="98"/>
  <c r="C145" i="98"/>
  <c r="C57" i="98"/>
  <c r="C146" i="98"/>
  <c r="R46" i="84"/>
  <c r="R45" i="84"/>
  <c r="R44" i="84"/>
  <c r="R43" i="84"/>
  <c r="R42" i="84"/>
  <c r="R41" i="84"/>
  <c r="Q41" i="84" s="1"/>
  <c r="R40" i="84"/>
  <c r="Q40" i="84" s="1"/>
  <c r="R39" i="84"/>
  <c r="Q39" i="84"/>
  <c r="R38" i="84"/>
  <c r="Q38" i="84"/>
  <c r="R37" i="84"/>
  <c r="Q37" i="84"/>
  <c r="R36" i="84"/>
  <c r="Q36" i="84"/>
  <c r="R25" i="84"/>
  <c r="R24" i="84"/>
  <c r="Q24" i="84" s="1"/>
  <c r="R23" i="84"/>
  <c r="R22" i="84"/>
  <c r="Q22" i="84" s="1"/>
  <c r="R21" i="84"/>
  <c r="R20" i="84"/>
  <c r="Q20" i="84" s="1"/>
  <c r="R19" i="84"/>
  <c r="Q19" i="84" s="1"/>
  <c r="R18" i="84"/>
  <c r="Q18" i="84"/>
  <c r="R17" i="84"/>
  <c r="Q17" i="84" s="1"/>
  <c r="R16" i="84"/>
  <c r="Q16" i="84"/>
  <c r="R15" i="84"/>
  <c r="Q15" i="84"/>
  <c r="C209" i="98" l="1"/>
  <c r="C94" i="98"/>
  <c r="C66" i="98"/>
  <c r="C68" i="98"/>
  <c r="C90" i="98"/>
  <c r="C192" i="98"/>
  <c r="C82" i="98"/>
  <c r="C185" i="98"/>
  <c r="C116" i="98"/>
  <c r="C80" i="98"/>
  <c r="C193" i="98"/>
  <c r="C102" i="98"/>
  <c r="C46" i="98"/>
  <c r="C197" i="98"/>
  <c r="C67" i="98"/>
  <c r="C60" i="98"/>
  <c r="C81" i="98"/>
  <c r="C190" i="98"/>
  <c r="C45" i="98"/>
  <c r="C43" i="98"/>
  <c r="C47" i="98"/>
  <c r="C200" i="98"/>
  <c r="C106" i="98"/>
  <c r="C153" i="98"/>
  <c r="C134" i="98"/>
  <c r="C157" i="98"/>
  <c r="C147" i="98"/>
  <c r="C92" i="98"/>
  <c r="C151" i="98"/>
  <c r="C99" i="98"/>
  <c r="C152" i="98"/>
  <c r="Q42" i="84"/>
  <c r="Q46" i="84"/>
  <c r="Q43" i="84"/>
  <c r="Q45" i="84"/>
  <c r="Q44" i="84"/>
  <c r="Q25" i="84"/>
  <c r="Q23" i="84"/>
  <c r="Q21" i="84"/>
  <c r="G107" i="71" l="1"/>
  <c r="V47" i="71"/>
  <c r="V48" i="71"/>
  <c r="V49" i="71"/>
  <c r="V50" i="71"/>
  <c r="V51" i="71"/>
  <c r="I53" i="71" l="1"/>
  <c r="C53" i="71" l="1"/>
  <c r="G53" i="71" l="1"/>
  <c r="L53" i="71"/>
  <c r="F53" i="71"/>
  <c r="M52" i="71"/>
  <c r="M51" i="71"/>
  <c r="M50" i="71"/>
  <c r="M49" i="71"/>
  <c r="J52" i="71"/>
  <c r="J51" i="71"/>
  <c r="J50" i="71"/>
  <c r="J49" i="71"/>
  <c r="H52" i="71"/>
  <c r="H51" i="71"/>
  <c r="H50" i="71"/>
  <c r="H49" i="71"/>
  <c r="C52" i="71"/>
  <c r="C51" i="71"/>
  <c r="C50" i="71"/>
  <c r="C49" i="71"/>
  <c r="H53" i="71" l="1"/>
  <c r="M53" i="71"/>
  <c r="J53" i="71"/>
  <c r="M47" i="102" l="1"/>
  <c r="N47" i="102" s="1"/>
  <c r="M39" i="102"/>
  <c r="N39" i="102" s="1"/>
  <c r="M44" i="102"/>
  <c r="N44" i="102" s="1"/>
  <c r="M42" i="102"/>
  <c r="N42" i="102" s="1"/>
  <c r="M41" i="102"/>
  <c r="N41" i="102" s="1"/>
  <c r="M46" i="102"/>
  <c r="N46" i="102" s="1"/>
  <c r="M43" i="102"/>
  <c r="N43" i="102" s="1"/>
  <c r="M48" i="102"/>
  <c r="N48" i="102" s="1"/>
  <c r="M40" i="102"/>
  <c r="N40" i="102" s="1"/>
  <c r="M45" i="102"/>
  <c r="N45" i="102" s="1"/>
  <c r="P20" i="78"/>
  <c r="Q20" i="78" s="1"/>
  <c r="P21" i="78"/>
  <c r="Q21" i="78" s="1"/>
  <c r="P25" i="78"/>
  <c r="Q25" i="78" s="1"/>
  <c r="P22" i="78"/>
  <c r="Q22" i="78" s="1"/>
  <c r="P15" i="78"/>
  <c r="Q15" i="78" s="1"/>
  <c r="P16" i="78"/>
  <c r="Q16" i="78" s="1"/>
  <c r="P18" i="78"/>
  <c r="Q18" i="78" s="1"/>
  <c r="P23" i="78"/>
  <c r="P24" i="78"/>
  <c r="Q24" i="78" s="1"/>
  <c r="P17" i="78"/>
  <c r="Q17" i="78" s="1"/>
  <c r="P19" i="78"/>
  <c r="Q19" i="78" s="1"/>
  <c r="S15" i="84"/>
  <c r="T15" i="84" s="1"/>
  <c r="S36" i="84"/>
  <c r="T36" i="84" s="1"/>
  <c r="S22" i="84"/>
  <c r="T22" i="84" s="1"/>
  <c r="S43" i="84"/>
  <c r="T43" i="84" s="1"/>
  <c r="S44" i="84"/>
  <c r="T44" i="84" s="1"/>
  <c r="S17" i="84"/>
  <c r="T17" i="84" s="1"/>
  <c r="S38" i="84"/>
  <c r="T38" i="84" s="1"/>
  <c r="S24" i="84"/>
  <c r="T24" i="84" s="1"/>
  <c r="S42" i="84"/>
  <c r="T42" i="84" s="1"/>
  <c r="S46" i="84"/>
  <c r="T46" i="84" s="1"/>
  <c r="S21" i="84"/>
  <c r="T21" i="84" s="1"/>
  <c r="S16" i="84"/>
  <c r="T16" i="84" s="1"/>
  <c r="S40" i="84"/>
  <c r="T40" i="84" s="1"/>
  <c r="S41" i="84"/>
  <c r="T41" i="84" s="1"/>
  <c r="S25" i="84"/>
  <c r="T25" i="84" s="1"/>
  <c r="S23" i="84"/>
  <c r="T23" i="84" s="1"/>
  <c r="S39" i="84"/>
  <c r="T39" i="84" s="1"/>
  <c r="S37" i="84"/>
  <c r="T37" i="84" s="1"/>
  <c r="S45" i="84"/>
  <c r="T45" i="84" s="1"/>
  <c r="S18" i="84"/>
  <c r="T18" i="84" s="1"/>
  <c r="S19" i="84"/>
  <c r="T19" i="84" s="1"/>
  <c r="S20" i="84"/>
  <c r="T20" i="84" s="1"/>
  <c r="Q23" i="78"/>
  <c r="G60" i="103" l="1"/>
  <c r="G59" i="103"/>
  <c r="J38" i="67"/>
  <c r="M38" i="67"/>
  <c r="M49" i="67"/>
  <c r="J49" i="67"/>
  <c r="M36" i="67"/>
  <c r="J36" i="67"/>
  <c r="J48" i="67"/>
  <c r="M37" i="67"/>
  <c r="J37" i="67"/>
  <c r="M48" i="67"/>
  <c r="J39" i="67"/>
  <c r="M39" i="67"/>
  <c r="M40" i="67"/>
  <c r="J40" i="67"/>
  <c r="F42" i="87"/>
  <c r="F43" i="87"/>
  <c r="C27" i="71"/>
  <c r="F36" i="22" s="1"/>
  <c r="C8" i="71"/>
  <c r="D14" i="41"/>
  <c r="O45" i="102" l="1"/>
  <c r="P45" i="102" s="1"/>
  <c r="O41" i="102"/>
  <c r="P41" i="102" s="1"/>
  <c r="O48" i="102"/>
  <c r="P48" i="102" s="1"/>
  <c r="O44" i="102"/>
  <c r="P44" i="102" s="1"/>
  <c r="O40" i="102"/>
  <c r="P40" i="102" s="1"/>
  <c r="O47" i="102"/>
  <c r="P47" i="102" s="1"/>
  <c r="O43" i="102"/>
  <c r="P43" i="102" s="1"/>
  <c r="O39" i="102"/>
  <c r="O46" i="102"/>
  <c r="P46" i="102" s="1"/>
  <c r="O42" i="102"/>
  <c r="P42" i="102" s="1"/>
  <c r="C12" i="87"/>
  <c r="F17" i="102"/>
  <c r="F16" i="102"/>
  <c r="F15" i="102"/>
  <c r="R15" i="78"/>
  <c r="R16" i="78"/>
  <c r="S16" i="78" s="1"/>
  <c r="R17" i="78"/>
  <c r="R18" i="78"/>
  <c r="S18" i="78" s="1"/>
  <c r="R19" i="78"/>
  <c r="S19" i="78" s="1"/>
  <c r="R20" i="78"/>
  <c r="S20" i="78" s="1"/>
  <c r="R21" i="78"/>
  <c r="S21" i="78" s="1"/>
  <c r="R22" i="78"/>
  <c r="S22" i="78" s="1"/>
  <c r="R23" i="78"/>
  <c r="S23" i="78" s="1"/>
  <c r="R24" i="78"/>
  <c r="S24" i="78" s="1"/>
  <c r="R25" i="78"/>
  <c r="S25" i="78" s="1"/>
  <c r="U15" i="84"/>
  <c r="U16" i="84"/>
  <c r="U19" i="84"/>
  <c r="U20" i="84"/>
  <c r="V20" i="84" s="1"/>
  <c r="U22" i="84"/>
  <c r="V22" i="84" s="1"/>
  <c r="U24" i="84"/>
  <c r="V24" i="84" s="1"/>
  <c r="U39" i="84"/>
  <c r="V39" i="84" s="1"/>
  <c r="U40" i="84"/>
  <c r="V40" i="84" s="1"/>
  <c r="U41" i="84"/>
  <c r="V41" i="84" s="1"/>
  <c r="U36" i="84"/>
  <c r="U17" i="84"/>
  <c r="U18" i="84"/>
  <c r="U37" i="84"/>
  <c r="U38" i="84"/>
  <c r="V38" i="84" s="1"/>
  <c r="U21" i="84"/>
  <c r="V21" i="84" s="1"/>
  <c r="U23" i="84"/>
  <c r="V23" i="84" s="1"/>
  <c r="U25" i="84"/>
  <c r="V25" i="84" s="1"/>
  <c r="U44" i="84"/>
  <c r="V44" i="84" s="1"/>
  <c r="U45" i="84"/>
  <c r="V45" i="84" s="1"/>
  <c r="U43" i="84"/>
  <c r="V43" i="84" s="1"/>
  <c r="U46" i="84"/>
  <c r="V46" i="84" s="1"/>
  <c r="U42" i="84"/>
  <c r="V42" i="84" s="1"/>
  <c r="C12" i="67"/>
  <c r="B7" i="100" s="1"/>
  <c r="F16" i="22"/>
  <c r="F15" i="22"/>
  <c r="F17" i="22"/>
  <c r="G36" i="22"/>
  <c r="I36" i="22" s="1"/>
  <c r="H36" i="22"/>
  <c r="J36" i="22" s="1"/>
  <c r="C98" i="71"/>
  <c r="C117" i="71"/>
  <c r="C99" i="71"/>
  <c r="C68" i="71"/>
  <c r="C69" i="71"/>
  <c r="C28" i="71"/>
  <c r="C14" i="71"/>
  <c r="P39" i="102" l="1"/>
  <c r="H60" i="103"/>
  <c r="I60" i="103" s="1"/>
  <c r="H59" i="103"/>
  <c r="I59" i="103" s="1"/>
  <c r="E32" i="102"/>
  <c r="E31" i="102"/>
  <c r="H15" i="102"/>
  <c r="J15" i="102" s="1"/>
  <c r="G15" i="102"/>
  <c r="I15" i="102" s="1"/>
  <c r="G16" i="102"/>
  <c r="I16" i="102" s="1"/>
  <c r="H16" i="102"/>
  <c r="J16" i="102" s="1"/>
  <c r="H17" i="102"/>
  <c r="J17" i="102" s="1"/>
  <c r="H38" i="103" s="1"/>
  <c r="G17" i="102"/>
  <c r="I17" i="102" s="1"/>
  <c r="N39" i="67"/>
  <c r="K39" i="67"/>
  <c r="N40" i="67"/>
  <c r="K40" i="67"/>
  <c r="N37" i="67"/>
  <c r="K37" i="67"/>
  <c r="N49" i="67"/>
  <c r="K49" i="67"/>
  <c r="K48" i="67"/>
  <c r="N48" i="67"/>
  <c r="N38" i="67"/>
  <c r="K38" i="67"/>
  <c r="K36" i="67"/>
  <c r="N36" i="67"/>
  <c r="V37" i="84"/>
  <c r="V18" i="84"/>
  <c r="V17" i="84"/>
  <c r="V36" i="84"/>
  <c r="V19" i="84"/>
  <c r="V16" i="84"/>
  <c r="V15" i="84"/>
  <c r="G42" i="87"/>
  <c r="S17" i="78"/>
  <c r="G43" i="87"/>
  <c r="H43" i="87" s="1"/>
  <c r="E27" i="87" s="1"/>
  <c r="S15" i="78"/>
  <c r="B6" i="100"/>
  <c r="K36" i="22"/>
  <c r="F53" i="92" a="1"/>
  <c r="F53" i="92" s="1"/>
  <c r="C25" i="67"/>
  <c r="H17" i="22"/>
  <c r="J17" i="22" s="1"/>
  <c r="G15" i="22"/>
  <c r="I15" i="22" s="1"/>
  <c r="H15" i="22"/>
  <c r="J15" i="22" s="1"/>
  <c r="G16" i="22"/>
  <c r="I16" i="22" s="1"/>
  <c r="H16" i="22"/>
  <c r="J16" i="22" s="1"/>
  <c r="C9" i="71"/>
  <c r="C92" i="71"/>
  <c r="C91" i="71"/>
  <c r="C90" i="71"/>
  <c r="C80" i="71"/>
  <c r="C79" i="71"/>
  <c r="C74" i="71"/>
  <c r="C48" i="71"/>
  <c r="C47" i="71"/>
  <c r="C46" i="71"/>
  <c r="C34" i="71"/>
  <c r="F30" i="22" s="1" a="1"/>
  <c r="F30" i="22" s="1"/>
  <c r="C22" i="71"/>
  <c r="G20" i="103" l="1"/>
  <c r="G26" i="103"/>
  <c r="H25" i="83"/>
  <c r="H24" i="83"/>
  <c r="H34" i="83"/>
  <c r="H35" i="83"/>
  <c r="H26" i="83"/>
  <c r="H33" i="83"/>
  <c r="F31" i="102"/>
  <c r="H31" i="102" s="1"/>
  <c r="G31" i="102"/>
  <c r="I31" i="102" s="1"/>
  <c r="G52" i="103" s="1"/>
  <c r="G32" i="102"/>
  <c r="I32" i="102" s="1"/>
  <c r="G53" i="103" s="1"/>
  <c r="F32" i="102"/>
  <c r="H32" i="102" s="1"/>
  <c r="H42" i="87"/>
  <c r="D27" i="87" s="1"/>
  <c r="D30" i="87" s="1"/>
  <c r="C27" i="100" s="1"/>
  <c r="C13" i="87"/>
  <c r="F24" i="102"/>
  <c r="F23" i="102"/>
  <c r="F22" i="102"/>
  <c r="H37" i="103"/>
  <c r="H36" i="103"/>
  <c r="G36" i="103"/>
  <c r="G37" i="103"/>
  <c r="K16" i="102"/>
  <c r="G34" i="103"/>
  <c r="K15" i="102"/>
  <c r="G35" i="103"/>
  <c r="G38" i="103"/>
  <c r="I38" i="103" s="1"/>
  <c r="K17" i="102"/>
  <c r="H35" i="103"/>
  <c r="H34" i="103"/>
  <c r="H35" i="92"/>
  <c r="G35" i="92"/>
  <c r="G34" i="92"/>
  <c r="D22" i="103"/>
  <c r="H36" i="92"/>
  <c r="G36" i="92"/>
  <c r="D27" i="103"/>
  <c r="H53" i="92" a="1"/>
  <c r="H53" i="92" s="1"/>
  <c r="G22" i="92" s="1"/>
  <c r="G30" i="92" s="1"/>
  <c r="C34" i="100" s="1"/>
  <c r="O37" i="67"/>
  <c r="L37" i="67"/>
  <c r="L40" i="67"/>
  <c r="O40" i="67"/>
  <c r="O49" i="67"/>
  <c r="L49" i="67"/>
  <c r="E17" i="67" s="1"/>
  <c r="O38" i="67"/>
  <c r="L38" i="67"/>
  <c r="L39" i="67"/>
  <c r="O39" i="67"/>
  <c r="L36" i="67"/>
  <c r="O36" i="67"/>
  <c r="O48" i="67"/>
  <c r="L48" i="67"/>
  <c r="F22" i="22"/>
  <c r="F23" i="22"/>
  <c r="F24" i="22"/>
  <c r="H34" i="92"/>
  <c r="C13" i="67"/>
  <c r="C7" i="100" s="1"/>
  <c r="D7" i="100" s="1"/>
  <c r="C26" i="87"/>
  <c r="D35" i="98" s="1"/>
  <c r="E34" i="98"/>
  <c r="C109" i="98" s="1"/>
  <c r="G53" i="92" a="1"/>
  <c r="G53" i="92" s="1"/>
  <c r="K15" i="22"/>
  <c r="K16" i="22"/>
  <c r="K17" i="22"/>
  <c r="H16" i="83"/>
  <c r="H17" i="83"/>
  <c r="H15" i="83"/>
  <c r="G30" i="22"/>
  <c r="I30" i="22" s="1"/>
  <c r="H30" i="22"/>
  <c r="J30" i="22" s="1"/>
  <c r="G30" i="103" l="1"/>
  <c r="C25" i="100" s="1"/>
  <c r="J33" i="83"/>
  <c r="L33" i="83" s="1"/>
  <c r="I33" i="83"/>
  <c r="K33" i="83" s="1"/>
  <c r="J26" i="83"/>
  <c r="L26" i="83" s="1"/>
  <c r="I26" i="83"/>
  <c r="K26" i="83" s="1"/>
  <c r="I35" i="83"/>
  <c r="K35" i="83" s="1"/>
  <c r="J35" i="83"/>
  <c r="L35" i="83" s="1"/>
  <c r="I34" i="83"/>
  <c r="K34" i="83" s="1"/>
  <c r="J34" i="83"/>
  <c r="L34" i="83" s="1"/>
  <c r="F53" i="103"/>
  <c r="H53" i="103" s="1"/>
  <c r="R49" i="32" s="1"/>
  <c r="D49" i="32" s="1"/>
  <c r="J32" i="102"/>
  <c r="J24" i="83"/>
  <c r="L24" i="83" s="1"/>
  <c r="I24" i="83"/>
  <c r="K24" i="83" s="1"/>
  <c r="F52" i="103"/>
  <c r="H52" i="103" s="1"/>
  <c r="J31" i="102"/>
  <c r="I25" i="83"/>
  <c r="K25" i="83" s="1"/>
  <c r="J25" i="83"/>
  <c r="L25" i="83" s="1"/>
  <c r="I37" i="103"/>
  <c r="H22" i="102"/>
  <c r="J22" i="102" s="1"/>
  <c r="G22" i="102"/>
  <c r="I22" i="102" s="1"/>
  <c r="I36" i="103"/>
  <c r="G23" i="102"/>
  <c r="I23" i="102" s="1"/>
  <c r="H23" i="102"/>
  <c r="J23" i="102" s="1"/>
  <c r="I36" i="92"/>
  <c r="D27" i="92" s="1"/>
  <c r="H24" i="102"/>
  <c r="J24" i="102" s="1"/>
  <c r="H47" i="103" s="1"/>
  <c r="G24" i="102"/>
  <c r="I24" i="102" s="1"/>
  <c r="I35" i="103"/>
  <c r="D21" i="103"/>
  <c r="I34" i="103"/>
  <c r="I35" i="92"/>
  <c r="D21" i="92" s="1"/>
  <c r="I34" i="92"/>
  <c r="C6" i="100"/>
  <c r="D6" i="100" s="1"/>
  <c r="G48" i="92" a="1"/>
  <c r="G48" i="92" s="1"/>
  <c r="H24" i="22"/>
  <c r="J24" i="22" s="1"/>
  <c r="G23" i="22"/>
  <c r="I23" i="22" s="1"/>
  <c r="H23" i="22"/>
  <c r="J23" i="22" s="1"/>
  <c r="G22" i="22"/>
  <c r="I22" i="22" s="1"/>
  <c r="H22" i="22"/>
  <c r="J22" i="22" s="1"/>
  <c r="E28" i="67"/>
  <c r="E29" i="67"/>
  <c r="C29" i="67" s="1"/>
  <c r="D17" i="67"/>
  <c r="C115" i="98"/>
  <c r="C182" i="98"/>
  <c r="C27" i="87"/>
  <c r="D36" i="98" s="1"/>
  <c r="E30" i="87"/>
  <c r="C195" i="98"/>
  <c r="K30" i="22"/>
  <c r="F48" i="92" a="1"/>
  <c r="F48" i="92" s="1"/>
  <c r="I17" i="83"/>
  <c r="K17" i="83" s="1"/>
  <c r="J17" i="83"/>
  <c r="L17" i="83" s="1"/>
  <c r="J15" i="83"/>
  <c r="L15" i="83" s="1"/>
  <c r="I15" i="83"/>
  <c r="K15" i="83" s="1"/>
  <c r="J16" i="83"/>
  <c r="L16" i="83" s="1"/>
  <c r="I16" i="83"/>
  <c r="K16" i="83" s="1"/>
  <c r="F21" i="103" l="1"/>
  <c r="F30" i="103" s="1"/>
  <c r="C26" i="100" s="1"/>
  <c r="G35" i="94"/>
  <c r="M26" i="83"/>
  <c r="M25" i="83"/>
  <c r="M24" i="83"/>
  <c r="F35" i="94"/>
  <c r="M34" i="83"/>
  <c r="M35" i="83"/>
  <c r="F36" i="94"/>
  <c r="M33" i="83"/>
  <c r="G36" i="94"/>
  <c r="H46" i="103"/>
  <c r="H45" i="103"/>
  <c r="G47" i="103"/>
  <c r="I47" i="103" s="1"/>
  <c r="R53" i="32" s="1"/>
  <c r="D53" i="32" s="1"/>
  <c r="K24" i="102"/>
  <c r="G46" i="103"/>
  <c r="G45" i="103"/>
  <c r="K23" i="102"/>
  <c r="G43" i="103"/>
  <c r="K22" i="102"/>
  <c r="G44" i="103"/>
  <c r="H44" i="103"/>
  <c r="H43" i="103"/>
  <c r="D26" i="103"/>
  <c r="D20" i="103"/>
  <c r="D22" i="92"/>
  <c r="C28" i="100"/>
  <c r="H48" i="92" a="1"/>
  <c r="H48" i="92" s="1"/>
  <c r="F22" i="92" s="1"/>
  <c r="F30" i="92" s="1"/>
  <c r="C33" i="100" s="1"/>
  <c r="H41" i="92"/>
  <c r="E22" i="103"/>
  <c r="C22" i="103" s="1"/>
  <c r="H31" i="98" s="1"/>
  <c r="H42" i="92"/>
  <c r="H43" i="92"/>
  <c r="E27" i="103"/>
  <c r="C27" i="103" s="1"/>
  <c r="H36" i="98" s="1"/>
  <c r="G41" i="92"/>
  <c r="K22" i="22"/>
  <c r="K23" i="22"/>
  <c r="G42" i="92"/>
  <c r="K24" i="22"/>
  <c r="G43" i="92"/>
  <c r="C122" i="98"/>
  <c r="C183" i="98"/>
  <c r="C20" i="87"/>
  <c r="C11" i="87" s="1"/>
  <c r="C17" i="67"/>
  <c r="D30" i="67"/>
  <c r="C29" i="100" s="1"/>
  <c r="E38" i="98"/>
  <c r="B19" i="98"/>
  <c r="C28" i="67"/>
  <c r="E30" i="67"/>
  <c r="C30" i="100" s="1"/>
  <c r="G34" i="94"/>
  <c r="F34" i="94"/>
  <c r="D26" i="92"/>
  <c r="D20" i="92"/>
  <c r="M15" i="83"/>
  <c r="M16" i="83"/>
  <c r="M17" i="83"/>
  <c r="C12" i="94" l="1"/>
  <c r="B5" i="100" s="1"/>
  <c r="H36" i="94"/>
  <c r="C37" i="100" s="1"/>
  <c r="H35" i="94"/>
  <c r="C36" i="100" s="1"/>
  <c r="C13" i="94"/>
  <c r="C5" i="100" s="1"/>
  <c r="I45" i="103"/>
  <c r="E21" i="103"/>
  <c r="C21" i="103" s="1"/>
  <c r="H30" i="98" s="1"/>
  <c r="C233" i="98" s="1"/>
  <c r="I43" i="103"/>
  <c r="C12" i="103"/>
  <c r="B10" i="100" s="1" a="1"/>
  <c r="B10" i="100" s="1"/>
  <c r="I46" i="103"/>
  <c r="C13" i="103"/>
  <c r="C10" i="100" s="1" a="1"/>
  <c r="C10" i="100" s="1"/>
  <c r="I44" i="103"/>
  <c r="D30" i="103"/>
  <c r="C23" i="100" s="1"/>
  <c r="I43" i="92"/>
  <c r="E27" i="92" s="1"/>
  <c r="C27" i="92" s="1"/>
  <c r="C13" i="92"/>
  <c r="C4" i="100" s="1"/>
  <c r="I42" i="92"/>
  <c r="E21" i="92" s="1"/>
  <c r="C21" i="92" s="1"/>
  <c r="I41" i="92"/>
  <c r="C12" i="92"/>
  <c r="C126" i="98"/>
  <c r="C239" i="98"/>
  <c r="C91" i="98"/>
  <c r="C234" i="98"/>
  <c r="E20" i="92"/>
  <c r="E37" i="98"/>
  <c r="B18" i="98"/>
  <c r="C137" i="98"/>
  <c r="C199" i="98"/>
  <c r="B7" i="98"/>
  <c r="E26" i="98"/>
  <c r="C30" i="67"/>
  <c r="C11" i="67"/>
  <c r="D29" i="98"/>
  <c r="C30" i="87"/>
  <c r="H34" i="94"/>
  <c r="H43" i="32"/>
  <c r="D43" i="32" s="1"/>
  <c r="D30" i="92"/>
  <c r="C31" i="100" s="1"/>
  <c r="H62" i="32" l="1"/>
  <c r="D62" i="32" s="1"/>
  <c r="C20" i="94"/>
  <c r="C29" i="98" s="1"/>
  <c r="D5" i="100"/>
  <c r="C35" i="100"/>
  <c r="C84" i="98"/>
  <c r="F48" i="32"/>
  <c r="D48" i="32" s="1"/>
  <c r="D10" i="100"/>
  <c r="E20" i="103"/>
  <c r="R40" i="32"/>
  <c r="D40" i="32" s="1"/>
  <c r="E26" i="103"/>
  <c r="C26" i="103" s="1"/>
  <c r="H35" i="98" s="1"/>
  <c r="R74" i="32"/>
  <c r="D74" i="32" s="1"/>
  <c r="F85" i="32"/>
  <c r="D85" i="32" s="1"/>
  <c r="B3" i="32" a="1"/>
  <c r="B3" i="32" s="1"/>
  <c r="B14" i="100" s="1"/>
  <c r="B36" i="98"/>
  <c r="C120" i="98" s="1"/>
  <c r="B17" i="98"/>
  <c r="B2" i="32" a="1"/>
  <c r="B2" i="32" s="1"/>
  <c r="B13" i="100" s="1"/>
  <c r="B4" i="100"/>
  <c r="D4" i="100" s="1"/>
  <c r="E22" i="92"/>
  <c r="C22" i="92" s="1"/>
  <c r="F56" i="32"/>
  <c r="D56" i="32" s="1"/>
  <c r="E26" i="92"/>
  <c r="C26" i="92" s="1"/>
  <c r="B35" i="98" s="1"/>
  <c r="C113" i="98" s="1"/>
  <c r="C20" i="92"/>
  <c r="C25" i="94"/>
  <c r="C34" i="98" s="1"/>
  <c r="C73" i="98"/>
  <c r="C176" i="98"/>
  <c r="C53" i="98"/>
  <c r="C187" i="98"/>
  <c r="C130" i="98"/>
  <c r="C198" i="98"/>
  <c r="H69" i="32"/>
  <c r="D69" i="32" s="1"/>
  <c r="B30" i="98"/>
  <c r="B11" i="98"/>
  <c r="C119" i="98" l="1"/>
  <c r="C238" i="98"/>
  <c r="E30" i="103"/>
  <c r="C24" i="100" s="1"/>
  <c r="C20" i="103"/>
  <c r="C155" i="98"/>
  <c r="B31" i="98"/>
  <c r="B12" i="98"/>
  <c r="C30" i="92"/>
  <c r="C154" i="98"/>
  <c r="B16" i="98"/>
  <c r="E30" i="92"/>
  <c r="C32" i="100" s="1"/>
  <c r="B29" i="98"/>
  <c r="C148" i="98" s="1"/>
  <c r="B10" i="98"/>
  <c r="C11" i="92"/>
  <c r="C30" i="94"/>
  <c r="B15" i="98"/>
  <c r="C11" i="94"/>
  <c r="C167" i="98"/>
  <c r="C107" i="98"/>
  <c r="C72" i="98"/>
  <c r="C162" i="98"/>
  <c r="C78" i="98"/>
  <c r="C149" i="98"/>
  <c r="H29" i="98" l="1"/>
  <c r="C30" i="103"/>
  <c r="C11" i="103"/>
  <c r="B1" i="32" s="1"/>
  <c r="M4" i="53" s="1"/>
  <c r="C71" i="98"/>
  <c r="C85" i="98"/>
  <c r="C150" i="98"/>
  <c r="E65" i="32" l="1"/>
  <c r="E77" i="32"/>
  <c r="E29" i="32"/>
  <c r="E4" i="53"/>
  <c r="E78" i="32"/>
  <c r="E88" i="32"/>
  <c r="C4" i="53"/>
  <c r="E87" i="32"/>
  <c r="E23" i="32"/>
  <c r="E60" i="32"/>
  <c r="E71" i="32"/>
  <c r="E81" i="32"/>
  <c r="E80" i="32"/>
  <c r="E90" i="32"/>
  <c r="E57" i="32"/>
  <c r="E67" i="32"/>
  <c r="A4" i="53"/>
  <c r="E50" i="32"/>
  <c r="E76" i="32"/>
  <c r="E86" i="32"/>
  <c r="C77" i="98"/>
  <c r="C232" i="98"/>
  <c r="E68" i="32"/>
  <c r="E69" i="32"/>
  <c r="E41" i="32"/>
  <c r="I4" i="53"/>
  <c r="E56" i="32"/>
  <c r="E62" i="32"/>
  <c r="E35" i="32"/>
  <c r="E43" i="32"/>
  <c r="E47" i="32"/>
  <c r="E53" i="32"/>
  <c r="E83" i="32"/>
  <c r="E40" i="32"/>
  <c r="E24" i="32"/>
  <c r="E42" i="32"/>
  <c r="E49" i="32"/>
  <c r="E72" i="32"/>
  <c r="E59" i="32"/>
  <c r="E44" i="32"/>
  <c r="G4" i="53"/>
  <c r="E64" i="32"/>
  <c r="E70" i="32"/>
  <c r="E52" i="32"/>
  <c r="E51" i="32"/>
  <c r="E55" i="32"/>
  <c r="E61" i="32"/>
  <c r="E74" i="32"/>
  <c r="E25" i="32"/>
  <c r="E32" i="32"/>
  <c r="E21" i="32"/>
  <c r="E48" i="32"/>
  <c r="E27" i="32"/>
  <c r="E38" i="32"/>
  <c r="E75" i="32"/>
  <c r="E46" i="32"/>
  <c r="E85" i="32"/>
  <c r="E26" i="32"/>
  <c r="E30" i="32"/>
  <c r="E36" i="32"/>
  <c r="E66" i="32"/>
  <c r="E73" i="32"/>
  <c r="E79" i="32"/>
  <c r="E63" i="32"/>
  <c r="E33" i="32"/>
  <c r="K4" i="53"/>
  <c r="E54" i="32"/>
  <c r="E34" i="32"/>
  <c r="E45" i="32"/>
  <c r="E82" i="32"/>
  <c r="B1" i="100"/>
  <c r="E6" i="100" s="1"/>
  <c r="E39" i="32"/>
  <c r="B1" i="98"/>
  <c r="C7" i="98" s="1"/>
  <c r="E31" i="32"/>
  <c r="E37" i="32"/>
  <c r="E84" i="32"/>
  <c r="E89" i="32"/>
  <c r="E22" i="32"/>
  <c r="E28" i="32"/>
  <c r="E58" i="32"/>
  <c r="W5" i="53"/>
  <c r="T5" i="53"/>
  <c r="Q5" i="53"/>
  <c r="E10" i="100" l="1"/>
  <c r="E9" i="100"/>
  <c r="E4" i="100"/>
  <c r="C8" i="98"/>
  <c r="E8" i="100"/>
  <c r="E5" i="100"/>
  <c r="C19" i="98"/>
  <c r="C14" i="98"/>
  <c r="C12" i="98"/>
  <c r="C6" i="98"/>
  <c r="C16" i="98"/>
  <c r="C15" i="98"/>
  <c r="E7" i="100"/>
  <c r="C10" i="98"/>
  <c r="C11" i="98"/>
  <c r="C18" i="98"/>
  <c r="C9" i="98"/>
  <c r="C17" i="98"/>
  <c r="C13"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VALLÉE Nicolas</author>
    <author>tc={9F591E9C-71AA-41FB-BB82-F374962B3E40}</author>
    <author>tc={58F01370-167E-4AC5-B1D1-B4C5FDAE2689}</author>
    <author>tc={99BE2CD0-4DE0-4F16-9E6D-CBCB63178B73}</author>
    <author>tc={B6A5D1F4-E07D-469A-B066-374A1B133E8C}</author>
    <author>tc={4F7745A5-66D6-4EC3-8016-5BE9FA6F6EB7}</author>
    <author>tc={BE9775C5-BD0E-425D-9C76-8B1EAC2D78CC}</author>
    <author>tc={CF415294-951C-4212-A8CC-EDA1EC33B18A}</author>
    <author>tc={3A8C7282-C352-4A1C-9AF9-538D0FA193F2}</author>
  </authors>
  <commentList>
    <comment ref="F7" authorId="0" shapeId="0" xr:uid="{E6C37FBA-B187-4F94-A4CD-67AEF1EE289D}">
      <text>
        <r>
          <rPr>
            <sz val="9"/>
            <color indexed="81"/>
            <rFont val="Tahoma"/>
            <family val="2"/>
          </rPr>
          <t>Si décomposition Fabrication et Utilisation non connue</t>
        </r>
      </text>
    </comment>
    <comment ref="H7" authorId="1" shapeId="0" xr:uid="{9F591E9C-71AA-41FB-BB82-F374962B3E40}">
      <text>
        <t>[Threaded comment]
Your version of Excel allows you to read this threaded comment; however, any edits to it will get removed if the file is opened in a newer version of Excel. Learn more: https://go.microsoft.com/fwlink/?linkid=870924
Comment:
    Utilisation</t>
      </text>
    </comment>
    <comment ref="F13" authorId="0" shapeId="0" xr:uid="{EAA8AF00-BE16-416F-8787-1D012DAAD97F}">
      <text>
        <r>
          <rPr>
            <sz val="9"/>
            <color indexed="81"/>
            <rFont val="Tahoma"/>
            <family val="2"/>
          </rPr>
          <t>Si décomposition Fabrication et Utilisation non connue</t>
        </r>
      </text>
    </comment>
    <comment ref="H13" authorId="2" shapeId="0" xr:uid="{58F01370-167E-4AC5-B1D1-B4C5FDAE2689}">
      <text>
        <t>[Threaded comment]
Your version of Excel allows you to read this threaded comment; however, any edits to it will get removed if the file is opened in a newer version of Excel. Learn more: https://go.microsoft.com/fwlink/?linkid=870924
Comment:
    Utilisation</t>
      </text>
    </comment>
    <comment ref="F21" authorId="0" shapeId="0" xr:uid="{07A5E776-6462-4908-A152-9652270BEC88}">
      <text>
        <r>
          <rPr>
            <sz val="9"/>
            <color indexed="81"/>
            <rFont val="Tahoma"/>
            <family val="2"/>
          </rPr>
          <t>Si décomposition Fabrication et Utilisation non connue</t>
        </r>
      </text>
    </comment>
    <comment ref="H21" authorId="3" shapeId="0" xr:uid="{99BE2CD0-4DE0-4F16-9E6D-CBCB63178B73}">
      <text>
        <t>[Threaded comment]
Your version of Excel allows you to read this threaded comment; however, any edits to it will get removed if the file is opened in a newer version of Excel. Learn more: https://go.microsoft.com/fwlink/?linkid=870924
Comment:
    Utilisation</t>
      </text>
    </comment>
    <comment ref="F26" authorId="0" shapeId="0" xr:uid="{036B0290-1ECA-40FC-BC41-AC9461D272CE}">
      <text>
        <r>
          <rPr>
            <sz val="9"/>
            <color indexed="81"/>
            <rFont val="Tahoma"/>
            <family val="2"/>
          </rPr>
          <t>Si décomposition Fabrication et Utilisation non connue</t>
        </r>
      </text>
    </comment>
    <comment ref="H26" authorId="4" shapeId="0" xr:uid="{B6A5D1F4-E07D-469A-B066-374A1B133E8C}">
      <text>
        <t>[Threaded comment]
Your version of Excel allows you to read this threaded comment; however, any edits to it will get removed if the file is opened in a newer version of Excel. Learn more: https://go.microsoft.com/fwlink/?linkid=870924
Comment:
    Utilisation</t>
      </text>
    </comment>
    <comment ref="F33" authorId="0" shapeId="0" xr:uid="{DB1FBF23-9640-46EA-B709-1AFAF8416C20}">
      <text>
        <r>
          <rPr>
            <sz val="9"/>
            <color indexed="81"/>
            <rFont val="Tahoma"/>
            <family val="2"/>
          </rPr>
          <t>Si décomposition Fabrication et Utilisation non connue</t>
        </r>
      </text>
    </comment>
    <comment ref="H33" authorId="5" shapeId="0" xr:uid="{4F7745A5-66D6-4EC3-8016-5BE9FA6F6EB7}">
      <text>
        <t>[Threaded comment]
Your version of Excel allows you to read this threaded comment; however, any edits to it will get removed if the file is opened in a newer version of Excel. Learn more: https://go.microsoft.com/fwlink/?linkid=870924
Comment:
    Utilisation</t>
      </text>
    </comment>
    <comment ref="K45" authorId="0" shapeId="0" xr:uid="{0D1D4746-4F23-479F-84C9-67E6B0DFB93F}">
      <text>
        <r>
          <rPr>
            <sz val="9"/>
            <color indexed="81"/>
            <rFont val="Tahoma"/>
            <family val="2"/>
          </rPr>
          <t>Si décomposition Fabrication et Utilisation non connue</t>
        </r>
      </text>
    </comment>
    <comment ref="F57" authorId="0" shapeId="0" xr:uid="{5780DAFF-51A9-4758-A2B0-6DA12ECCCF52}">
      <text>
        <r>
          <rPr>
            <sz val="9"/>
            <color indexed="81"/>
            <rFont val="Tahoma"/>
            <family val="2"/>
          </rPr>
          <t>Si décomposition Fabrication et Utilisation non connue</t>
        </r>
      </text>
    </comment>
    <comment ref="H57" authorId="6" shapeId="0" xr:uid="{BE9775C5-BD0E-425D-9C76-8B1EAC2D78CC}">
      <text>
        <t>[Threaded comment]
Your version of Excel allows you to read this threaded comment; however, any edits to it will get removed if the file is opened in a newer version of Excel. Learn more: https://go.microsoft.com/fwlink/?linkid=870924
Comment:
    Utilisation</t>
      </text>
    </comment>
    <comment ref="F62" authorId="0" shapeId="0" xr:uid="{9FF27C00-4527-4A3B-987F-BC3C3C350384}">
      <text>
        <r>
          <rPr>
            <sz val="9"/>
            <color indexed="81"/>
            <rFont val="Tahoma"/>
            <family val="2"/>
          </rPr>
          <t>Si décomposition Fabrication et Utilisation non connue</t>
        </r>
      </text>
    </comment>
    <comment ref="H62" authorId="7" shapeId="0" xr:uid="{CF415294-951C-4212-A8CC-EDA1EC33B18A}">
      <text>
        <t>[Threaded comment]
Your version of Excel allows you to read this threaded comment; however, any edits to it will get removed if the file is opened in a newer version of Excel. Learn more: https://go.microsoft.com/fwlink/?linkid=870924
Comment:
    Utilisation</t>
      </text>
    </comment>
    <comment ref="F67" authorId="0" shapeId="0" xr:uid="{6B0F712E-23C7-43F4-8F1F-74ED6BC3BF41}">
      <text>
        <r>
          <rPr>
            <sz val="9"/>
            <color indexed="81"/>
            <rFont val="Tahoma"/>
            <family val="2"/>
          </rPr>
          <t>Si décomposition Fabrication et Utilisation non connue</t>
        </r>
      </text>
    </comment>
    <comment ref="H67" authorId="8" shapeId="0" xr:uid="{3A8C7282-C352-4A1C-9AF9-538D0FA193F2}">
      <text>
        <t>[Threaded comment]
Your version of Excel allows you to read this threaded comment; however, any edits to it will get removed if the file is opened in a newer version of Excel. Learn more: https://go.microsoft.com/fwlink/?linkid=870924
Comment:
    Utilisation</t>
      </text>
    </comment>
    <comment ref="F73" authorId="0" shapeId="0" xr:uid="{D116E209-95B7-4D70-98E1-C9C66B93D3D3}">
      <text>
        <r>
          <rPr>
            <sz val="9"/>
            <color indexed="81"/>
            <rFont val="Tahoma"/>
            <family val="2"/>
          </rPr>
          <t>Si décomposition Fabrication et Utilisation non connue</t>
        </r>
      </text>
    </comment>
    <comment ref="F78" authorId="0" shapeId="0" xr:uid="{9D018A9B-3006-4C4D-985B-6605831BDE68}">
      <text>
        <r>
          <rPr>
            <sz val="9"/>
            <color indexed="81"/>
            <rFont val="Tahoma"/>
            <family val="2"/>
          </rPr>
          <t>Si décomposition Fabrication et Utilisation non connue</t>
        </r>
      </text>
    </comment>
    <comment ref="F88" authorId="0" shapeId="0" xr:uid="{C467C47D-C1AC-4B84-8DC3-CF14097569F7}">
      <text>
        <r>
          <rPr>
            <sz val="9"/>
            <color indexed="81"/>
            <rFont val="Tahoma"/>
            <family val="2"/>
          </rPr>
          <t>Si décomposition Fabrication et Utilisation non connue</t>
        </r>
      </text>
    </comment>
    <comment ref="F95" authorId="0" shapeId="0" xr:uid="{0A07CE5D-A658-4519-85E8-D76A1F7AD790}">
      <text>
        <r>
          <rPr>
            <sz val="9"/>
            <color indexed="81"/>
            <rFont val="Tahoma"/>
            <family val="2"/>
          </rPr>
          <t>Si décomposition Fabrication et Utilisation non connue</t>
        </r>
      </text>
    </comment>
    <comment ref="F106" authorId="0" shapeId="0" xr:uid="{09ABF3DB-803B-484C-98D8-BEE57DCF927A}">
      <text>
        <r>
          <rPr>
            <sz val="9"/>
            <color indexed="81"/>
            <rFont val="Tahoma"/>
            <family val="2"/>
          </rPr>
          <t>Si décomposition Fabrication et Utilisation non connue</t>
        </r>
      </text>
    </comment>
    <comment ref="F124" authorId="0" shapeId="0" xr:uid="{5E183943-D67A-4B5E-993A-60715B4741B2}">
      <text>
        <r>
          <rPr>
            <sz val="9"/>
            <color indexed="81"/>
            <rFont val="Tahoma"/>
            <family val="2"/>
          </rPr>
          <t>Si décomposition Fabrication et Utilisation non connue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<sst xmlns="http://schemas.openxmlformats.org/spreadsheetml/2006/main" count="2195" uniqueCount="819">
  <si>
    <t>Cybersustainability Methodology Presentation</t>
  </si>
  <si>
    <t>Intellectual Property Rights</t>
  </si>
  <si>
    <t>This methodolgy was created to calculate the Carbon Emission of Cybersecurity.</t>
  </si>
  <si>
    <t>It is based on NIST cybersecurity recommandations.</t>
  </si>
  <si>
    <t>Always indicate the above when using the methodology to quote the authors.</t>
  </si>
  <si>
    <t>The methodology is composed of two documents : Template EN v2 - Cybersecurity Data Collection and Template EN v2 - Cybersecurity GHG Emissions Calculator.</t>
  </si>
  <si>
    <t>The tool also exists in French.</t>
  </si>
  <si>
    <t xml:space="preserve">Collect your data with the first one, then report them in the second document to get the calculations. </t>
  </si>
  <si>
    <t>The data collected will help you cover the different aspects of the shortlisted NIST controls. With the mapping tabs you will be able to map the data categories with each NIST control.</t>
  </si>
  <si>
    <t>The dashboard tabs will permit to see the results and report easily.</t>
  </si>
  <si>
    <t>You can perform the methodology on the whole scope of your company or on a representative entity. In this case you can use a multplying factor to estimate the emission for the whole company.</t>
  </si>
  <si>
    <t>Please read the READ-ME tab.</t>
  </si>
  <si>
    <t>NIST shortlisted controls</t>
  </si>
  <si>
    <t>Topics</t>
  </si>
  <si>
    <t>APP</t>
  </si>
  <si>
    <t>ASSET</t>
  </si>
  <si>
    <t>CLOUD</t>
  </si>
  <si>
    <t>DATA</t>
  </si>
  <si>
    <t>DET</t>
  </si>
  <si>
    <t>ENDPT</t>
  </si>
  <si>
    <t>GOV</t>
  </si>
  <si>
    <t>IAM</t>
  </si>
  <si>
    <t>INC</t>
  </si>
  <si>
    <t>NTW</t>
  </si>
  <si>
    <t>OPS</t>
  </si>
  <si>
    <t>RES</t>
  </si>
  <si>
    <t>RISK</t>
  </si>
  <si>
    <t>TP</t>
  </si>
  <si>
    <t>NIST Control</t>
  </si>
  <si>
    <t>NIST Topic</t>
  </si>
  <si>
    <t>Simplified requierment</t>
  </si>
  <si>
    <t>APP_01</t>
  </si>
  <si>
    <t>Tools are used by application experts for the software development lifecycle (SDLC).</t>
  </si>
  <si>
    <t>ASSET_01</t>
  </si>
  <si>
    <t>Monitoring tools (e.g. Centreon) are used at application level.</t>
  </si>
  <si>
    <t>ASSET_02</t>
  </si>
  <si>
    <t>Obsolete assets are blocked, replaced or protected.</t>
  </si>
  <si>
    <t>ASSET_03</t>
  </si>
  <si>
    <t>Assets or hard disks can be destroyed for security reasons when they are removed from the production environment.</t>
  </si>
  <si>
    <t>CLOUD_01</t>
  </si>
  <si>
    <t>Redundancy options in data centres located in different regions are put in place.</t>
  </si>
  <si>
    <t>CLOUD_02</t>
  </si>
  <si>
    <t>Backup options are put in place</t>
  </si>
  <si>
    <t>CLOUD_03</t>
  </si>
  <si>
    <t>Bastions are used to access cloud consoles</t>
  </si>
  <si>
    <t>CLOUD_04</t>
  </si>
  <si>
    <t>A security model based on Zero-Trust is used</t>
  </si>
  <si>
    <t>DATA_01</t>
  </si>
  <si>
    <t>Data classification and mapping tools are used</t>
  </si>
  <si>
    <t>DATA_02</t>
  </si>
  <si>
    <t>A personal data register is maintained and monitored</t>
  </si>
  <si>
    <t>DATA_03</t>
  </si>
  <si>
    <t>A digital risk management solution (DRM solution: Varonis, AIP) is used to detect data leaks on the Internet</t>
  </si>
  <si>
    <t>DATA_04</t>
  </si>
  <si>
    <t>Sensitive data in transit is secured (via a DLP solution, SIEM rules, a secure exchange solution)</t>
  </si>
  <si>
    <t>DATA_05</t>
  </si>
  <si>
    <t>Unstructured data leaks are prevented using DLP solutions on workstations (e.g. Varonis, Symantec)</t>
  </si>
  <si>
    <t>DATA_06</t>
  </si>
  <si>
    <t xml:space="preserve">DLP solutions are deployed on network points to prevent data leaks </t>
  </si>
  <si>
    <t>DATA_07</t>
  </si>
  <si>
    <t>Tools are used to desensitise data</t>
  </si>
  <si>
    <t>DATA_08</t>
  </si>
  <si>
    <t>Automatic monitoring of the Internet to detect data leaks (e.g. CyberAngel)</t>
  </si>
  <si>
    <t>DATA_09</t>
  </si>
  <si>
    <t>Data is encrypted</t>
  </si>
  <si>
    <t>DET_01</t>
  </si>
  <si>
    <t>Logs of the security systems are kept.</t>
  </si>
  <si>
    <t>DET_02</t>
  </si>
  <si>
    <t>Logs from network security systems, security solutions, infrastructures and business applications are analysed.</t>
  </si>
  <si>
    <t>DET_03</t>
  </si>
  <si>
    <t>The logs are centralised in a SIEM (e.g. Splunk, Logpoint) and abnormal events are detected using detection scenarios. Remedial action is then taken.</t>
  </si>
  <si>
    <t>DET_04</t>
  </si>
  <si>
    <t>CTI sources are used to cover the entire perimeter of the company</t>
  </si>
  <si>
    <t>DET_05</t>
  </si>
  <si>
    <t>Indicators of compromise are qualified and correlated</t>
  </si>
  <si>
    <t>DET_06</t>
  </si>
  <si>
    <t>Intrusion detection systems and intrusion prevention systems are activated and connected to the SIEM</t>
  </si>
  <si>
    <t>DET_07</t>
  </si>
  <si>
    <t>Detection probes (e.g. Darktrace, Vectra) are deployed on the information system</t>
  </si>
  <si>
    <t>DET_08</t>
  </si>
  <si>
    <t>An EDR (endpoint detection and response tool, e.g. Symantec, SentinelOne, Fireeye) and a sandbox are used to detect malicious software</t>
  </si>
  <si>
    <t>ENDPT_01</t>
  </si>
  <si>
    <t>Anti-malware or intrusion prevention solutions (host IPS) are deployed on workstations</t>
  </si>
  <si>
    <t>ENDPT_02</t>
  </si>
  <si>
    <t>An EDR (endpoint detection and response tool, e.g. SentinelOne, Symantec, FireEye) is deployed on all workstations</t>
  </si>
  <si>
    <t>ENDPT_03</t>
  </si>
  <si>
    <t>A device management tool (e.g. SCCM, Intune, Tanium, Jamf) is deployed on workstations</t>
  </si>
  <si>
    <t>ENDPT_04</t>
  </si>
  <si>
    <t>Remote access is secured using encrypted VPN (Netscale, Pulse, Cisco), host checking or multi-factor authentication (MFA)</t>
  </si>
  <si>
    <t>ENDPT_05</t>
  </si>
  <si>
    <t>USB keys are protected inside and outside the company premises (anti-virus scanning software, sandbox, encrypted USB key)</t>
  </si>
  <si>
    <t>ENDPT_06</t>
  </si>
  <si>
    <t>A management tool (e.g. MDM, Microsoft Intune, Mobile Iron, AirWatch) is installed on mobile phones</t>
  </si>
  <si>
    <t>ENDPT_07</t>
  </si>
  <si>
    <t>The email platform is secured via anti-virus scanning, transport layer security encryption (TLS), server relay, anti-spam and anti-phishing software, advanced threat protection software (e.g. Windows ATP, Proofpoint).</t>
  </si>
  <si>
    <t>ENDPT_08</t>
  </si>
  <si>
    <t>Dedicated workstations for administrators</t>
  </si>
  <si>
    <t>GOV_01</t>
  </si>
  <si>
    <t>A dedicated cybersecurity organisation is in place, with defined roles and responsibilities</t>
  </si>
  <si>
    <t>GOV_02</t>
  </si>
  <si>
    <t>Cybersecurity awareness is raised among internal and external employees via training and tests for certain populations</t>
  </si>
  <si>
    <t>GOV_03</t>
  </si>
  <si>
    <t>A dashboard has been formalised to monitor the level of IS security</t>
  </si>
  <si>
    <t>IAM_01</t>
  </si>
  <si>
    <t>An identity lifecycle management tool (e.g. Sailpoint, Oracle, IBM, One Identity) is used to manage user identities</t>
  </si>
  <si>
    <t>IAM_02</t>
  </si>
  <si>
    <t>Alternative mechanisms are used to authenticate technical identities, such as authentication tokens</t>
  </si>
  <si>
    <t>INC_01</t>
  </si>
  <si>
    <t>A security incident management process is in place, documented and monitored</t>
  </si>
  <si>
    <t>INC_02</t>
  </si>
  <si>
    <t>Tools are used for investigations (e.g. EnCase)</t>
  </si>
  <si>
    <t>INC_03</t>
  </si>
  <si>
    <t>Incident response service providers are mobilised during a crisis or incident</t>
  </si>
  <si>
    <t>NTW_01</t>
  </si>
  <si>
    <t>Applications are secured using firewalls, intrusion prevention systems (IPS), proxy-inverses and WAFs</t>
  </si>
  <si>
    <t>NTW_02</t>
  </si>
  <si>
    <t>Network segmentation rules are in place</t>
  </si>
  <si>
    <t>NTW_03</t>
  </si>
  <si>
    <t>Network flows are protected, for example by an automatic micro-segmentation tool (e.g. Illumio)</t>
  </si>
  <si>
    <t>NTW_04</t>
  </si>
  <si>
    <t>Data flows are identified, mapped and centralised in a global tool (e.g. Tufin, AlgoSec)</t>
  </si>
  <si>
    <t>NTW_05</t>
  </si>
  <si>
    <t>Automatic tools scan the network (e.g. NetFlow, Cisco, J-Flow, Darktrace) to detect unauthorised or unusual flows</t>
  </si>
  <si>
    <t>NTW_06</t>
  </si>
  <si>
    <t>Automatic reporting and real-time detection of Shadow IT are operational, for example using a data flow discovery tool (e.g. Tufin, AlgoSec and/or via a CASB).</t>
  </si>
  <si>
    <t>NTW_07</t>
  </si>
  <si>
    <t>All Internet access is via a proxy managed by the company.</t>
  </si>
  <si>
    <t>NTW_08</t>
  </si>
  <si>
    <t>Protective measures are implemented for all browsing, such as proxy, web page analysis, sandboxing and TLS decryption.</t>
  </si>
  <si>
    <t>NTW_09</t>
  </si>
  <si>
    <t>Internet-facing services are secured using a network-based anti-DDoS solution.</t>
  </si>
  <si>
    <t>NTW_10</t>
  </si>
  <si>
    <t>Internet-facing services are secured using an application-based anti-DDoS solution.</t>
  </si>
  <si>
    <t>NTW_11</t>
  </si>
  <si>
    <t>A dedicated administration IS and just-in-time authentication are in place to prevent unauthorised access during remote administration.</t>
  </si>
  <si>
    <t>NTW_12</t>
  </si>
  <si>
    <t>External workstation connections to the corporate network are prevented using NAC (e.g. ForeScout, Palo Alto) and segregation based on asset type.</t>
  </si>
  <si>
    <t>OPS_01</t>
  </si>
  <si>
    <t>Vulnerability scans (e.g. Qualys), code scans (e.g. Checkmarx, Fortify, Veracode) and penetration tests (e.g. Veracode) are also carried out.</t>
  </si>
  <si>
    <t>OPS_02</t>
  </si>
  <si>
    <t>Critical infrastructures are strengthened.</t>
  </si>
  <si>
    <t>OPS_03</t>
  </si>
  <si>
    <t>Vulnerability scans (e.g. Qualys, Rapid7, Acunetix, Tenable, OpenVAS) are performed on servers, operating system, middleware, database and network infrastructure.</t>
  </si>
  <si>
    <t>OPS_04</t>
  </si>
  <si>
    <t>Patching of servers, middleware, databases and network infrastructure is performed using tools (e.g. WSUS, SEP).</t>
  </si>
  <si>
    <t>OPS_05</t>
  </si>
  <si>
    <t>Virtual patching (e.g. Trend Micro) is carried out.</t>
  </si>
  <si>
    <t>OPS_06</t>
  </si>
  <si>
    <t>All changes are consolidated in a single centralised ITSM tool (e.g. Service Now).</t>
  </si>
  <si>
    <t>OPS_07</t>
  </si>
  <si>
    <t>Differences with the configuration databases are identified in real time using tools (e.g. Pupet, Ansible, Qualys, BigFix).</t>
  </si>
  <si>
    <t>OPS_08</t>
  </si>
  <si>
    <t>Tier 0 (sensitive area for AD management) is separated from the rest of the IS, using a dedicated workstation for the domain administrator and a dedicated infrastructure for Tier 0 administration.</t>
  </si>
  <si>
    <t>OPS_09</t>
  </si>
  <si>
    <t>Infrastructures are in place to manage the lifecycle of the certificates used, such as a single master PKI and inventory and analysis tools.</t>
  </si>
  <si>
    <t>OPS_10</t>
  </si>
  <si>
    <t>The certification authorities' private keys are secured in HSMs or in a physical safe.</t>
  </si>
  <si>
    <t>OPS_11</t>
  </si>
  <si>
    <t>Secure means are used to deploy remote updates (MFA, tests on a non-production environment).</t>
  </si>
  <si>
    <t>RES_01</t>
  </si>
  <si>
    <t>Data is regularly backed up on company assets, including disconnected equipment, and a rapid reconstruction tool is available in the event of a crisis.</t>
  </si>
  <si>
    <t>RISK_01</t>
  </si>
  <si>
    <t>Threats to the company are identified and consolidated.</t>
  </si>
  <si>
    <t>RISK_02</t>
  </si>
  <si>
    <t>Risks are determined at project/product level (formalised toolbox, adapted to agile projects, periodic reviews).</t>
  </si>
  <si>
    <t>RISK_03</t>
  </si>
  <si>
    <t>After an acquisition and before any new connection, the implementation of security measures is checked.</t>
  </si>
  <si>
    <t>RISK_04</t>
  </si>
  <si>
    <t>Technical and organisational security audits are carried out on the information system.</t>
  </si>
  <si>
    <t>TP_01</t>
  </si>
  <si>
    <t>A process is in place to assess compliance with the contractual obligations of third parties.</t>
  </si>
  <si>
    <t>READ ME - Guidelines to fill in the Excel spreadsheet</t>
  </si>
  <si>
    <t>This is the calculation document. You can fill it in with the data collected in the Data Collection Document.</t>
  </si>
  <si>
    <t>File structure</t>
  </si>
  <si>
    <t>Tabs</t>
  </si>
  <si>
    <t>Summary</t>
  </si>
  <si>
    <t>Tabs 0.</t>
  </si>
  <si>
    <t>Tabs of presentation</t>
  </si>
  <si>
    <t>Tabs 1.</t>
  </si>
  <si>
    <t>Tabs to calculate carbon</t>
  </si>
  <si>
    <t>Tabs 2.</t>
  </si>
  <si>
    <t>Tabs to map with referential</t>
  </si>
  <si>
    <t>Tabs 3.</t>
  </si>
  <si>
    <t>Tabs with assumptions and emission factors</t>
  </si>
  <si>
    <t>Tabs 4.</t>
  </si>
  <si>
    <t>Tabs with dashboards and graphs</t>
  </si>
  <si>
    <t>Tab 5.1</t>
  </si>
  <si>
    <t>Tab with reduction actions</t>
  </si>
  <si>
    <t>Category of data collected</t>
  </si>
  <si>
    <t>Type of tabs</t>
  </si>
  <si>
    <t>Comment</t>
  </si>
  <si>
    <t>Staff location</t>
  </si>
  <si>
    <t>To fill in with data collection document</t>
  </si>
  <si>
    <t>Cyber devices</t>
  </si>
  <si>
    <t>Network</t>
  </si>
  <si>
    <t>Backup servers</t>
  </si>
  <si>
    <t>Cyber Software infrastructure</t>
  </si>
  <si>
    <t>External services</t>
  </si>
  <si>
    <t>Travel</t>
  </si>
  <si>
    <t>Non-cyber equipments</t>
  </si>
  <si>
    <t>Mapping Cyber devices</t>
  </si>
  <si>
    <t>Mapping Network</t>
  </si>
  <si>
    <t>Mapping Backup servers</t>
  </si>
  <si>
    <t>Mapping Cyber Software infrastructure</t>
  </si>
  <si>
    <t>Mapping External services</t>
  </si>
  <si>
    <t>Mapping Travel</t>
  </si>
  <si>
    <t>Mapping Non-cyber equipments</t>
  </si>
  <si>
    <t>Electricity mix</t>
  </si>
  <si>
    <t>Emission factors</t>
  </si>
  <si>
    <t>Assumptions</t>
  </si>
  <si>
    <t>Dashboard - Per control</t>
  </si>
  <si>
    <t>Dashboard - Topic</t>
  </si>
  <si>
    <t>Dashboard - Per category</t>
  </si>
  <si>
    <t>Tab 5.</t>
  </si>
  <si>
    <t>Action Plan</t>
  </si>
  <si>
    <t>Tabs explanations</t>
  </si>
  <si>
    <t>Cells color legend</t>
  </si>
  <si>
    <t>Title cells</t>
  </si>
  <si>
    <r>
      <t xml:space="preserve">Mandatory cells 
</t>
    </r>
    <r>
      <rPr>
        <sz val="11"/>
        <color theme="5"/>
        <rFont val="Calibri"/>
        <family val="2"/>
        <scheme val="minor"/>
      </rPr>
      <t>(Example data is written in orange)</t>
    </r>
  </si>
  <si>
    <r>
      <t xml:space="preserve">Better to have cells
</t>
    </r>
    <r>
      <rPr>
        <sz val="11"/>
        <color theme="5"/>
        <rFont val="Calibri"/>
        <family val="2"/>
        <scheme val="minor"/>
      </rPr>
      <t>(Example data is written in orange)</t>
    </r>
  </si>
  <si>
    <r>
      <t xml:space="preserve">Optional cells
</t>
    </r>
    <r>
      <rPr>
        <sz val="11"/>
        <color theme="5"/>
        <rFont val="Calibri"/>
        <family val="2"/>
        <scheme val="minor"/>
      </rPr>
      <t>(Example data is written in orange)</t>
    </r>
  </si>
  <si>
    <t>Cells with value 0 : pay attention</t>
  </si>
  <si>
    <t>Results</t>
  </si>
  <si>
    <t>Disclaimers</t>
  </si>
  <si>
    <t>Emission factor for Cloud footprint has a high degree of incertitude, due to lack of data from providers.</t>
  </si>
  <si>
    <t>You can add an "incertitude" rating for your data</t>
  </si>
  <si>
    <t>Smaller organisations can only fill in the data relevant for their environment</t>
  </si>
  <si>
    <t>More generally, the tool often needs to be slightly adapted to fit the organisation's reality</t>
  </si>
  <si>
    <r>
      <t xml:space="preserve">Mandatory cells
</t>
    </r>
    <r>
      <rPr>
        <sz val="11"/>
        <color theme="5"/>
        <rFont val="Calibri"/>
        <family val="2"/>
        <scheme val="minor"/>
      </rPr>
      <t>(Example data is written in orange)</t>
    </r>
  </si>
  <si>
    <r>
      <t xml:space="preserve">Do not modify cells
</t>
    </r>
    <r>
      <rPr>
        <sz val="11"/>
        <color theme="5"/>
        <rFont val="Calibri"/>
        <family val="2"/>
        <scheme val="minor"/>
      </rPr>
      <t>(Example data is written in orange)</t>
    </r>
  </si>
  <si>
    <r>
      <rPr>
        <b/>
        <sz val="11"/>
        <color theme="0"/>
        <rFont val="Calibri"/>
        <family val="2"/>
        <scheme val="minor"/>
      </rPr>
      <t>Group staff</t>
    </r>
    <r>
      <rPr>
        <sz val="11"/>
        <color theme="0"/>
        <rFont val="Calibri"/>
        <family val="2"/>
        <scheme val="minor"/>
      </rPr>
      <t xml:space="preserve"> : Average Carbon Intensity of the Electricity Mix (kgCO2e/kWh)</t>
    </r>
  </si>
  <si>
    <r>
      <rPr>
        <b/>
        <sz val="11"/>
        <color theme="0"/>
        <rFont val="Calibri"/>
        <family val="2"/>
        <scheme val="minor"/>
      </rPr>
      <t>Cyber Staff</t>
    </r>
    <r>
      <rPr>
        <sz val="11"/>
        <color theme="0"/>
        <rFont val="Calibri"/>
        <family val="2"/>
        <scheme val="minor"/>
      </rPr>
      <t xml:space="preserve"> : Average Carbon Intensity of the Electricity Mix (kgCO2e/kWh)</t>
    </r>
  </si>
  <si>
    <t>Global staff</t>
  </si>
  <si>
    <t>Country</t>
  </si>
  <si>
    <t>% or number of internals in this country</t>
  </si>
  <si>
    <t>Carbon Intensity of the Electricity Mix per Geographical area (kgCO2e/kWH)</t>
  </si>
  <si>
    <t>Azerbaijan</t>
  </si>
  <si>
    <t>Georgia</t>
  </si>
  <si>
    <t>China</t>
  </si>
  <si>
    <t>Cyber staff</t>
  </si>
  <si>
    <t>France</t>
  </si>
  <si>
    <t>Belarus</t>
  </si>
  <si>
    <t>Belgium</t>
  </si>
  <si>
    <t>Bahrain</t>
  </si>
  <si>
    <t>Workstation - Laptop</t>
  </si>
  <si>
    <t>Scope</t>
  </si>
  <si>
    <t xml:space="preserve">Quantity </t>
  </si>
  <si>
    <t>Lifespan</t>
  </si>
  <si>
    <t>Energetic mix (kgCO2e/kWh)</t>
  </si>
  <si>
    <t>Emission Factor</t>
  </si>
  <si>
    <t>Electric consumption (kWh/year/unit)</t>
  </si>
  <si>
    <t>Manufacturing (kgCO2e/unit)</t>
  </si>
  <si>
    <t>Scope 2 (kgC02e)</t>
  </si>
  <si>
    <t>Scope 3 (kgC02e)</t>
  </si>
  <si>
    <t>Total emissions (kgC02e)</t>
  </si>
  <si>
    <t>Workstations used by internal cyber employees</t>
  </si>
  <si>
    <t>Workstations used by cyber contractors given by your company</t>
  </si>
  <si>
    <t>Workstations used for backup purposes</t>
  </si>
  <si>
    <t>No consumption (backup)</t>
  </si>
  <si>
    <t>Workstation - Desktop</t>
  </si>
  <si>
    <t>Screens</t>
  </si>
  <si>
    <t>Screens used by internal or external cyber employees given by your company</t>
  </si>
  <si>
    <t>OK</t>
  </si>
  <si>
    <t>Smartphones</t>
  </si>
  <si>
    <t>Manufacturing (kgCO2e/year of usage/unit)</t>
  </si>
  <si>
    <t>Mobile used by internal or external cyber employees given by your company</t>
  </si>
  <si>
    <t>Proxy/Reverse-proxy in your entire company</t>
  </si>
  <si>
    <t>DC ID</t>
  </si>
  <si>
    <t>PUE</t>
  </si>
  <si>
    <t>Location</t>
  </si>
  <si>
    <t>Firewall/WAF in your entire company</t>
  </si>
  <si>
    <t>IPS/IDS in your entire company</t>
  </si>
  <si>
    <t>Servers on-premise used for redundancy and back-up</t>
  </si>
  <si>
    <t>ID of data center</t>
  </si>
  <si>
    <t>ID of servers</t>
  </si>
  <si>
    <t>Type of server (PROD,TEST)</t>
  </si>
  <si>
    <t>Cyber category</t>
  </si>
  <si>
    <t>Server lifespan</t>
  </si>
  <si>
    <t xml:space="preserve">Server location </t>
  </si>
  <si>
    <t>Physical servers (unit)</t>
  </si>
  <si>
    <t>Physical CPUs (unit)</t>
  </si>
  <si>
    <t>RAM (GB)</t>
  </si>
  <si>
    <t>HDD (unit)</t>
  </si>
  <si>
    <t>SSD (GB)</t>
  </si>
  <si>
    <t>Energetic mix (kgCO2e / kWh)</t>
  </si>
  <si>
    <t>Electric consumption (kWh)</t>
  </si>
  <si>
    <t>Scope 2 (kgCO2e)</t>
  </si>
  <si>
    <t>Scope 3 (kgCO2e)</t>
  </si>
  <si>
    <t>Total emissions (kgCO2e)</t>
  </si>
  <si>
    <t>DC1</t>
  </si>
  <si>
    <t>Redundant servers</t>
  </si>
  <si>
    <t>DC2</t>
  </si>
  <si>
    <t>Germany</t>
  </si>
  <si>
    <r>
      <rPr>
        <sz val="16"/>
        <color rgb="FF000000"/>
        <rFont val="Calibri"/>
        <family val="2"/>
        <scheme val="minor"/>
      </rPr>
      <t xml:space="preserve">Cyber dedicated software </t>
    </r>
    <r>
      <rPr>
        <b/>
        <sz val="16"/>
        <color rgb="FF000000"/>
        <rFont val="Calibri"/>
        <family val="2"/>
        <scheme val="minor"/>
      </rPr>
      <t>hosted on premise</t>
    </r>
  </si>
  <si>
    <t>ID of application</t>
  </si>
  <si>
    <t>Name of application</t>
  </si>
  <si>
    <t>Description of app</t>
  </si>
  <si>
    <t>vCPU (unit)</t>
  </si>
  <si>
    <t>Calculated physical server (unit)</t>
  </si>
  <si>
    <t>Calculated Physical CPU (unit)</t>
  </si>
  <si>
    <t>ID1</t>
  </si>
  <si>
    <t>Name1</t>
  </si>
  <si>
    <t>Name2</t>
  </si>
  <si>
    <r>
      <rPr>
        <sz val="16"/>
        <color rgb="FF000000"/>
        <rFont val="Calibri"/>
        <family val="2"/>
        <scheme val="minor"/>
      </rPr>
      <t xml:space="preserve">Cyber dedicated software </t>
    </r>
    <r>
      <rPr>
        <b/>
        <sz val="16"/>
        <color rgb="FF000000"/>
        <rFont val="Calibri"/>
        <family val="2"/>
        <scheme val="minor"/>
      </rPr>
      <t>hosted on cloud</t>
    </r>
    <r>
      <rPr>
        <sz val="16"/>
        <color rgb="FF000000"/>
        <rFont val="Calibri"/>
        <family val="2"/>
        <scheme val="minor"/>
      </rPr>
      <t xml:space="preserve"> (IaaS / SaaS...)</t>
    </r>
  </si>
  <si>
    <t>Server methodology</t>
  </si>
  <si>
    <t>ID34</t>
  </si>
  <si>
    <t>ID35</t>
  </si>
  <si>
    <t>Cost methodology</t>
  </si>
  <si>
    <t>Cost (k€)</t>
  </si>
  <si>
    <t>Emission Factor (kgCO2e / k€)</t>
  </si>
  <si>
    <t>ID25</t>
  </si>
  <si>
    <t>ID41</t>
  </si>
  <si>
    <t>ID42</t>
  </si>
  <si>
    <t>ID43</t>
  </si>
  <si>
    <t>ID44</t>
  </si>
  <si>
    <t>ID45</t>
  </si>
  <si>
    <t>ID46</t>
  </si>
  <si>
    <t>ID47</t>
  </si>
  <si>
    <t>ID48</t>
  </si>
  <si>
    <t>ID49</t>
  </si>
  <si>
    <t>ID50</t>
  </si>
  <si>
    <t>T&amp;M Services dedicated to cyber</t>
  </si>
  <si>
    <t>ID of service</t>
  </si>
  <si>
    <t>Name of service</t>
  </si>
  <si>
    <t>Description</t>
  </si>
  <si>
    <t>Provider of service</t>
  </si>
  <si>
    <t>T&amp;M (in FTE)</t>
  </si>
  <si>
    <t>Fixed Price (in k€)</t>
  </si>
  <si>
    <t>FTE emission factor (kgCO2e / unit)</t>
  </si>
  <si>
    <t>Cost emission factor (kgCO2e/k€)</t>
  </si>
  <si>
    <t>SID1</t>
  </si>
  <si>
    <t>SID3</t>
  </si>
  <si>
    <t>SID4</t>
  </si>
  <si>
    <t>SID5</t>
  </si>
  <si>
    <t>Cyber Fixed Price Services dedicated to cyber</t>
  </si>
  <si>
    <t>SID6</t>
  </si>
  <si>
    <t>SID7</t>
  </si>
  <si>
    <t>SID8</t>
  </si>
  <si>
    <t>SID9</t>
  </si>
  <si>
    <t>SID10</t>
  </si>
  <si>
    <t>Travel done by internal cyber staff</t>
  </si>
  <si>
    <t>Type of transportation</t>
  </si>
  <si>
    <t>Number of km</t>
  </si>
  <si>
    <t>Emissions (kgCO2e/km)</t>
  </si>
  <si>
    <t>Plane</t>
  </si>
  <si>
    <t>Air travel - ADEME 2020, Base carbone - Medium-haul, with trails</t>
  </si>
  <si>
    <t>Car</t>
  </si>
  <si>
    <t>Car travel - ADEME 2022, Base carbone - Mixed commute, average car model</t>
  </si>
  <si>
    <t>Train</t>
  </si>
  <si>
    <t>Rail travel - ADEME 2022, Base carbone - High-speed train, France</t>
  </si>
  <si>
    <t>Non_Cyber - Workstation - Laptop</t>
  </si>
  <si>
    <t>Workstations used by internal non-cyber employees</t>
  </si>
  <si>
    <t>Workstations used by non-cyber contractors given by your company</t>
  </si>
  <si>
    <t>Workstations used by administrators of the IS (Group scope)</t>
  </si>
  <si>
    <t>Non_Cyber - Workstation - Desktop</t>
  </si>
  <si>
    <t>Group_VDI</t>
  </si>
  <si>
    <t>VDIs used by administrators of the IS (Group scope)</t>
  </si>
  <si>
    <t>VDIs used by employees (Group scope)</t>
  </si>
  <si>
    <t>Servers on-premise non-used by cyber</t>
  </si>
  <si>
    <t>Model of server</t>
  </si>
  <si>
    <t>Physical CPU (unit)</t>
  </si>
  <si>
    <t>DC 1</t>
  </si>
  <si>
    <t>DC 2</t>
  </si>
  <si>
    <t>Devices emissions (tCO2e)</t>
  </si>
  <si>
    <t>Total Devices emissions (kgCO2e)</t>
  </si>
  <si>
    <t>Workstation_Laptop</t>
  </si>
  <si>
    <t>Workstation_Desktop</t>
  </si>
  <si>
    <t>Total</t>
  </si>
  <si>
    <t>Internal referential</t>
  </si>
  <si>
    <t>% Dedicated to cyber</t>
  </si>
  <si>
    <t>Network emissions (tCO2e)</t>
  </si>
  <si>
    <t>Appliances emissions (kgCO2e)</t>
  </si>
  <si>
    <t>Appliances</t>
  </si>
  <si>
    <t>Servers on premise emissions (tCO2e)</t>
  </si>
  <si>
    <t>Total severs on premise emissions (kgCO2e)</t>
  </si>
  <si>
    <t>Servers on premise used for redundancy and back-up</t>
  </si>
  <si>
    <t>Cyber solutions emissions (tCO2e)</t>
  </si>
  <si>
    <t>Total Cyber solution emissions (kgCO2e)</t>
  </si>
  <si>
    <t>Cyber dedicated solutions hosted on premise</t>
  </si>
  <si>
    <t>Cyber dedicated solutions hosted on cloud</t>
  </si>
  <si>
    <r>
      <t xml:space="preserve">Cyber dedicated solutions </t>
    </r>
    <r>
      <rPr>
        <b/>
        <sz val="16"/>
        <rFont val="Calibri"/>
        <family val="2"/>
        <scheme val="minor"/>
      </rPr>
      <t>hosted on premise</t>
    </r>
  </si>
  <si>
    <t>Application ID</t>
  </si>
  <si>
    <t>Application name</t>
  </si>
  <si>
    <t>Application description</t>
  </si>
  <si>
    <t>% of the app contributing to this NIST Control</t>
  </si>
  <si>
    <t>% of the app contributing to this internal referential</t>
  </si>
  <si>
    <t>Scope 2 NIST carbon emissions (kGCO2e)</t>
  </si>
  <si>
    <t>Scope 3 NIST carbon emissions (kGCO2e)2</t>
  </si>
  <si>
    <t>Total NIST carbon emission (kgCO2e)</t>
  </si>
  <si>
    <t>Scope 2 internal referential carbon emissions (kgCO2e)</t>
  </si>
  <si>
    <t>Scope 3 internal referential carbon emissions (kgCO2e)</t>
  </si>
  <si>
    <t>Total internal referential carbon emissions (kgCO2e)</t>
  </si>
  <si>
    <t>Apptest 1</t>
  </si>
  <si>
    <t>ID2</t>
  </si>
  <si>
    <t>Apptest 2</t>
  </si>
  <si>
    <t>ID3</t>
  </si>
  <si>
    <t>Apptest 3</t>
  </si>
  <si>
    <t>ID4</t>
  </si>
  <si>
    <t>Apptest 4</t>
  </si>
  <si>
    <t>ID5</t>
  </si>
  <si>
    <t>Apptest 5</t>
  </si>
  <si>
    <r>
      <t xml:space="preserve">Cyber dedicated solutions </t>
    </r>
    <r>
      <rPr>
        <b/>
        <sz val="16"/>
        <rFont val="Calibri"/>
        <family val="2"/>
        <scheme val="minor"/>
      </rPr>
      <t>hosted on cloud</t>
    </r>
    <r>
      <rPr>
        <sz val="16"/>
        <rFont val="Calibri"/>
        <family val="2"/>
        <scheme val="minor"/>
      </rPr>
      <t xml:space="preserve"> (IaaS / SaaS...)</t>
    </r>
  </si>
  <si>
    <t>ID26</t>
  </si>
  <si>
    <t>Test 1</t>
  </si>
  <si>
    <t>ID40</t>
  </si>
  <si>
    <t>External services emissions (tCO2e)</t>
  </si>
  <si>
    <t>Total External services emissions (kgCO2e)</t>
  </si>
  <si>
    <t>Service ID</t>
  </si>
  <si>
    <t>Service name</t>
  </si>
  <si>
    <t>Service description</t>
  </si>
  <si>
    <t>% of the app contributing 
to this NIST Control</t>
  </si>
  <si>
    <t>NIST carbon emission (kgCO2e)</t>
  </si>
  <si>
    <t>Internal referential carbon emissions (kgCO2e)</t>
  </si>
  <si>
    <t>SID2</t>
  </si>
  <si>
    <t>Travel emissions (tCO2e)</t>
  </si>
  <si>
    <t>Total Travel (kgCO2e)</t>
  </si>
  <si>
    <t>Professional travel done by internal cyber staff</t>
  </si>
  <si>
    <t>Non cyber equipments emissions (tCO2e)</t>
  </si>
  <si>
    <t>Total Log and Antivirus for non cybe equipments emissions (kgCO2e)</t>
  </si>
  <si>
    <t>VDI</t>
  </si>
  <si>
    <t>Non Cyber Servers</t>
  </si>
  <si>
    <t>Workstations used by internal non-cyber employees - CPU/RAM used for antivirus/patch</t>
  </si>
  <si>
    <t>Workstations used by internal non-cyber employees - CPU/RAM used for logs generation</t>
  </si>
  <si>
    <t>Workstations used by non-cyber contractors given by your company - CPU/RAM used for antivirus/patch</t>
  </si>
  <si>
    <t>Workstations used by non-cyber contractors given by your company - CPU/RAM used for logs generation</t>
  </si>
  <si>
    <t>Group VDI</t>
  </si>
  <si>
    <t>VDIs used by employees (cyber and non cyber)</t>
  </si>
  <si>
    <t>In on-premise servers, the CPU/RAM of non cyber servers for log generation</t>
  </si>
  <si>
    <t>In on-premise servers, the CPU/RAM of non cyber servers used for antivirus</t>
  </si>
  <si>
    <t>Electricity mix per country</t>
  </si>
  <si>
    <t>Source</t>
  </si>
  <si>
    <t>ADEME (2017)</t>
  </si>
  <si>
    <t>Base Empreinte</t>
  </si>
  <si>
    <t>Pays</t>
  </si>
  <si>
    <t>kgCO2e / kWh</t>
  </si>
  <si>
    <t>Algeria</t>
  </si>
  <si>
    <t>Angola</t>
  </si>
  <si>
    <t>Argentina</t>
  </si>
  <si>
    <t>Armenia</t>
  </si>
  <si>
    <t>Australia</t>
  </si>
  <si>
    <t>Austria</t>
  </si>
  <si>
    <t>Bangladesh</t>
  </si>
  <si>
    <t>Benin</t>
  </si>
  <si>
    <t>Bolivia</t>
  </si>
  <si>
    <t>Bosnia and Herzegovina</t>
  </si>
  <si>
    <t>Botswana</t>
  </si>
  <si>
    <t>Brazil</t>
  </si>
  <si>
    <t>Brunei Darussalam</t>
  </si>
  <si>
    <t>Bulgaria</t>
  </si>
  <si>
    <t>Cambodia</t>
  </si>
  <si>
    <t>Cameroon</t>
  </si>
  <si>
    <t>Canada</t>
  </si>
  <si>
    <t>Chile</t>
  </si>
  <si>
    <t>Colombia</t>
  </si>
  <si>
    <t>Congo</t>
  </si>
  <si>
    <t>Costa Rica</t>
  </si>
  <si>
    <t>Croatia</t>
  </si>
  <si>
    <t>Cuba</t>
  </si>
  <si>
    <t>Cyprus</t>
  </si>
  <si>
    <t>Czech Republic</t>
  </si>
  <si>
    <t>Denmark</t>
  </si>
  <si>
    <t>Dominican Republic</t>
  </si>
  <si>
    <t>Ecuador</t>
  </si>
  <si>
    <t>Egypt</t>
  </si>
  <si>
    <t>El Salvador</t>
  </si>
  <si>
    <t>Eritrea</t>
  </si>
  <si>
    <t>Estonia</t>
  </si>
  <si>
    <t>European Union (27 member states)</t>
  </si>
  <si>
    <t>Finland</t>
  </si>
  <si>
    <t>French Polynesia</t>
  </si>
  <si>
    <t>Gabon</t>
  </si>
  <si>
    <t>Ghana</t>
  </si>
  <si>
    <t>Gibraltar</t>
  </si>
  <si>
    <t>Greece</t>
  </si>
  <si>
    <t>Guadeloupe</t>
  </si>
  <si>
    <t>Guatemala</t>
  </si>
  <si>
    <t>Haiti</t>
  </si>
  <si>
    <t>Honduras</t>
  </si>
  <si>
    <t>Hong Kong</t>
  </si>
  <si>
    <t>Hungary</t>
  </si>
  <si>
    <t>Iceland</t>
  </si>
  <si>
    <t>India</t>
  </si>
  <si>
    <t>Indonesia</t>
  </si>
  <si>
    <t>Iraq</t>
  </si>
  <si>
    <t>Ireland</t>
  </si>
  <si>
    <t>Israel</t>
  </si>
  <si>
    <t>Italy</t>
  </si>
  <si>
    <t>Ivory Coast</t>
  </si>
  <si>
    <t>Jamaica</t>
  </si>
  <si>
    <t>Japan</t>
  </si>
  <si>
    <t>Jordan</t>
  </si>
  <si>
    <t>Kazakhstan</t>
  </si>
  <si>
    <t>Kenya</t>
  </si>
  <si>
    <t>Kosovo</t>
  </si>
  <si>
    <t>Kuwait</t>
  </si>
  <si>
    <t>Kyrgyzstan</t>
  </si>
  <si>
    <t>Latvia</t>
  </si>
  <si>
    <t>Lebanon</t>
  </si>
  <si>
    <t>Libya</t>
  </si>
  <si>
    <t>Lithuania</t>
  </si>
  <si>
    <t>Luxembourg</t>
  </si>
  <si>
    <t>Macedonia</t>
  </si>
  <si>
    <t>Malaysia</t>
  </si>
  <si>
    <t>Malta</t>
  </si>
  <si>
    <t>Martinique</t>
  </si>
  <si>
    <t>Mauritania</t>
  </si>
  <si>
    <t>Mayotte</t>
  </si>
  <si>
    <t>Mexico</t>
  </si>
  <si>
    <t>Moldova</t>
  </si>
  <si>
    <t>Mongolia</t>
  </si>
  <si>
    <t>Montenegro</t>
  </si>
  <si>
    <t>Morocco</t>
  </si>
  <si>
    <t>Myanmar</t>
  </si>
  <si>
    <t>Namibia</t>
  </si>
  <si>
    <t>Netherlands</t>
  </si>
  <si>
    <t>Netherlands Antilles</t>
  </si>
  <si>
    <t>New Caledonia</t>
  </si>
  <si>
    <t>New Zealand</t>
  </si>
  <si>
    <t>Nicaragua</t>
  </si>
  <si>
    <t>Nigeria</t>
  </si>
  <si>
    <t>North Korea</t>
  </si>
  <si>
    <t>Norway</t>
  </si>
  <si>
    <t>Oman</t>
  </si>
  <si>
    <t>Pakistan</t>
  </si>
  <si>
    <t>Panama</t>
  </si>
  <si>
    <t>Paraguay</t>
  </si>
  <si>
    <t>Peru</t>
  </si>
  <si>
    <t>Philippines</t>
  </si>
  <si>
    <t>Poland</t>
  </si>
  <si>
    <t>Portugal</t>
  </si>
  <si>
    <t>Qatar</t>
  </si>
  <si>
    <t>Romania</t>
  </si>
  <si>
    <t>Russia</t>
  </si>
  <si>
    <t>Saudi Arabia</t>
  </si>
  <si>
    <t>Senegal</t>
  </si>
  <si>
    <t>Serbia</t>
  </si>
  <si>
    <t>Singapore</t>
  </si>
  <si>
    <t>Slovakia</t>
  </si>
  <si>
    <t>Slovenia</t>
  </si>
  <si>
    <t>South Africa</t>
  </si>
  <si>
    <t>South Korea</t>
  </si>
  <si>
    <t>Spain</t>
  </si>
  <si>
    <t>Sri Lanka</t>
  </si>
  <si>
    <t>Sudan</t>
  </si>
  <si>
    <t>Sweden</t>
  </si>
  <si>
    <t>Switzerland</t>
  </si>
  <si>
    <t>Syria</t>
  </si>
  <si>
    <t>Taiwan</t>
  </si>
  <si>
    <t>Tajikistan</t>
  </si>
  <si>
    <t>Tanzania, United Republic of</t>
  </si>
  <si>
    <t>Thailand</t>
  </si>
  <si>
    <t>Togo</t>
  </si>
  <si>
    <t>Trinidad and Tobago</t>
  </si>
  <si>
    <t>Tunisia</t>
  </si>
  <si>
    <t>Turkey</t>
  </si>
  <si>
    <t>Turkmenistan</t>
  </si>
  <si>
    <t>Ukraine</t>
  </si>
  <si>
    <t>United Arab Emirates</t>
  </si>
  <si>
    <t>United Kingdom</t>
  </si>
  <si>
    <t>United States</t>
  </si>
  <si>
    <t>Uruguay</t>
  </si>
  <si>
    <t>Uzbekistan</t>
  </si>
  <si>
    <t>Venezuela, Bolivarian Republic of</t>
  </si>
  <si>
    <t>Viet Nam</t>
  </si>
  <si>
    <t>Worldwide</t>
  </si>
  <si>
    <t>Yemen</t>
  </si>
  <si>
    <t>Zimbabwe</t>
  </si>
  <si>
    <t>Workplace Equipements</t>
  </si>
  <si>
    <t>Workstation</t>
  </si>
  <si>
    <t>Name</t>
  </si>
  <si>
    <t>Parameter</t>
  </si>
  <si>
    <t>Average Lifespan (years)</t>
  </si>
  <si>
    <t>Manufacturing (kCO2e)</t>
  </si>
  <si>
    <t>Consumption (kWh/year)</t>
  </si>
  <si>
    <t>Link 1</t>
  </si>
  <si>
    <t>Link 2</t>
  </si>
  <si>
    <t>ADEME 2023, Base carbone</t>
  </si>
  <si>
    <t>Laptop any screen size</t>
  </si>
  <si>
    <t>Laptop; use mix; average configuration: 14,6 inches screen, 1 CPU, 11 GB RAM, 497 GB SSD, 5 years lifespan; RAS</t>
  </si>
  <si>
    <t>https://base-empreinte.ademe.fr/donnees/jeu-donnees</t>
  </si>
  <si>
    <t>Computer central unit alone</t>
  </si>
  <si>
    <t>Desktop; profesional use; average configuration: 1 CPU, 10 GB RAM, 1173 GB HDD, 442 GB SSD, mix of integrated or separated graphic card, 6 years lifespan; RAS</t>
  </si>
  <si>
    <t>VDIs</t>
  </si>
  <si>
    <t>Manufacturing + use (kCO2e)</t>
  </si>
  <si>
    <t>Wavestone study based on ADEME/Negaoctet database</t>
  </si>
  <si>
    <t>VDI underlying server (8 vCPU, 32 GB dedicated RAM) and network</t>
  </si>
  <si>
    <t>Tablets</t>
  </si>
  <si>
    <t>Tablet; use mix, personal or professional use; average configuration: 10.44 inches screen mix of LCD screen, 4 GB RAM, 121 GB memory, 3 years lifespan; RAS</t>
  </si>
  <si>
    <t>Phones</t>
  </si>
  <si>
    <t xml:space="preserve">Smartphones  </t>
  </si>
  <si>
    <t xml:space="preserve">Energy consumption and kgCO2eq for business phones </t>
  </si>
  <si>
    <t>Office monitors</t>
  </si>
  <si>
    <t>All screen sizes</t>
  </si>
  <si>
    <t>Computer monitors; use mix, personal and professional use; average dimension (24 inches) and technology (98.6% LCD, 1.4% OLED), 6,6 years lifespan; RAS</t>
  </si>
  <si>
    <t>On Premise Infrastructure</t>
  </si>
  <si>
    <t>Servers</t>
  </si>
  <si>
    <t>Type</t>
  </si>
  <si>
    <t xml:space="preserve"> [Servers] Manufacturing emissions (kgCO2e/unit)</t>
  </si>
  <si>
    <t xml:space="preserve"> [Servers] RAM (GB)</t>
  </si>
  <si>
    <t>[Servers] Manufacturing emissions: RAM factor (kgCO2e/GB)</t>
  </si>
  <si>
    <t xml:space="preserve"> [Servers] CPU (unit)</t>
  </si>
  <si>
    <t>[Servers] Upstream emissions: Boavizta CPU factor (kgCO2e/CPU units)</t>
  </si>
  <si>
    <t>Consumption: CPU factor (CPU kWh/year/unit)</t>
  </si>
  <si>
    <t>Manufacturing of HDD (kgCO2e)</t>
  </si>
  <si>
    <t>Manufacturing SSD (kgCO2e/GB)</t>
  </si>
  <si>
    <t>Datavizta SSD emissions</t>
  </si>
  <si>
    <t>ADEME 2020, Base carbone</t>
  </si>
  <si>
    <t>Server</t>
  </si>
  <si>
    <t>N/A</t>
  </si>
  <si>
    <t>Capacity</t>
  </si>
  <si>
    <t>kgCO2e</t>
  </si>
  <si>
    <t>kgCO2e/GB</t>
  </si>
  <si>
    <t>Boavizta / ADEME 2012 Study</t>
  </si>
  <si>
    <t>2nd equation proposed by Boavizta in his research article. It requires access to CPU and RAM.</t>
  </si>
  <si>
    <t>https://datavizta.boavizta.org/serversimpact ; Average on SSD kgCO2e / GB</t>
  </si>
  <si>
    <t>ADEME 2012, Sector guide</t>
  </si>
  <si>
    <t>Storage</t>
  </si>
  <si>
    <t>HPE SY 480 Gen10</t>
  </si>
  <si>
    <t>Link</t>
  </si>
  <si>
    <t>PowerEdge R740XD</t>
  </si>
  <si>
    <t>PowerEdge R640</t>
  </si>
  <si>
    <t>PowerEdge R740</t>
  </si>
  <si>
    <t>Average</t>
  </si>
  <si>
    <t>Storage HDD</t>
  </si>
  <si>
    <t>Boavizta / Datavizta</t>
  </si>
  <si>
    <t>By unit</t>
  </si>
  <si>
    <t>External Hard Disk Drive (HDD); use mix; average capacity (1700 GB), 5 years lifespan; RAS</t>
  </si>
  <si>
    <t>Storage SSD</t>
  </si>
  <si>
    <t>By GB</t>
  </si>
  <si>
    <t>External Solid State Drive (SSD); use mix; average capacity (870 GB), 5 years lifespan; RAS</t>
  </si>
  <si>
    <t>Racks</t>
  </si>
  <si>
    <t xml:space="preserve"> [Servers] Upstream emissions: base factor (kgCO2e/unit)</t>
  </si>
  <si>
    <t>[Servers] Upstream emissions: CPU factor (kgCO2e/CPU units)</t>
  </si>
  <si>
    <t>[Servers] Upstream emissions: RAM factor (kgCO2e/GB)</t>
  </si>
  <si>
    <t>ADEME 2014, Base carbone</t>
  </si>
  <si>
    <t>Firewall</t>
  </si>
  <si>
    <t xml:space="preserve">Fixed/mobile network </t>
  </si>
  <si>
    <t>ARCEP / ICT / IEA Study</t>
  </si>
  <si>
    <t>Fixed-line network</t>
  </si>
  <si>
    <t>https://www.arcep.fr/uploads/tx_gspublication/etude-numerique-environnement-ademe-arcep-volet02_janv2022.pdf</t>
  </si>
  <si>
    <t>Mobile network</t>
  </si>
  <si>
    <t>Services</t>
  </si>
  <si>
    <t>Cloud monetary ratio</t>
  </si>
  <si>
    <t>Service</t>
  </si>
  <si>
    <t>Unit</t>
  </si>
  <si>
    <t>Emissions</t>
  </si>
  <si>
    <t>Column1</t>
  </si>
  <si>
    <t>Column2</t>
  </si>
  <si>
    <t>Description / Comments2</t>
  </si>
  <si>
    <t>Azure/AWS</t>
  </si>
  <si>
    <t>CDP 2021</t>
  </si>
  <si>
    <t>IaaS</t>
  </si>
  <si>
    <t>1k$ purchased</t>
  </si>
  <si>
    <t>External sevices (consulting, maintenance, etc.)</t>
  </si>
  <si>
    <t>Fixed fee external services</t>
  </si>
  <si>
    <t>Wavestone study</t>
  </si>
  <si>
    <t>kgCO2e/k€ purchased</t>
  </si>
  <si>
    <t>Time &amp; material external services</t>
  </si>
  <si>
    <t>kgCO2e/FTE purchased</t>
  </si>
  <si>
    <t>Rail travel</t>
  </si>
  <si>
    <t>Average emissions rail travel</t>
  </si>
  <si>
    <t>kgCO2eq/km.passenger</t>
  </si>
  <si>
    <t>Short-haul, with trails</t>
  </si>
  <si>
    <t>Medium-haul, with trails</t>
  </si>
  <si>
    <t>Long-haul, with trails</t>
  </si>
  <si>
    <t>ADEME 2022, Base carbone</t>
  </si>
  <si>
    <t>High-speed train, France</t>
  </si>
  <si>
    <t>Regional Express Train (TER), France</t>
  </si>
  <si>
    <t>Short commute, average car model</t>
  </si>
  <si>
    <t>Long commute, average car model</t>
  </si>
  <si>
    <t>Mixed commute, average car model</t>
  </si>
  <si>
    <t>Others</t>
  </si>
  <si>
    <t>USB key; use mix; average capacity (59.2 Go), 5 years lifespan; RAS</t>
  </si>
  <si>
    <t>Modem; use mix, personal and professional use; xDSL, FTTx, 5 years lifespan; RAS</t>
  </si>
  <si>
    <t>Connected device (IoT); Automation - Space Conditioning; RAS</t>
  </si>
  <si>
    <t>Connected device (IoT); Sensors - Industry; RAS</t>
  </si>
  <si>
    <t xml:space="preserve">Equipement porté par une personne devant ses yeux, lui permettant de visionner des images et d'entendre des sons générés par un équipement numérique tiers ou par le casque lui-même, ainsi que d'accéder à des fonctions de contrôle.
Deux manettes incluses dans le périmètre. </t>
  </si>
  <si>
    <t>External power supply (EPS); use mix; for laptop, input AC 100-240V, output DC 19-20V; RAS</t>
  </si>
  <si>
    <t xml:space="preserve"> </t>
  </si>
  <si>
    <t>External power supply (EPS); use mix; for mobile device, input AC 100-240V, output DC 5V; RAS</t>
  </si>
  <si>
    <t>Television; use mix, personal use; average dimension (45 inches) and technology (89% LCD, 11% OLED), 8 years lifespan; RAS</t>
  </si>
  <si>
    <t>Television; use mix, pro use; average dimension (45 inches) and technology (89% LCD, 11% OLED), 8 years lifespan; RAS</t>
  </si>
  <si>
    <t>Mandatory cells</t>
  </si>
  <si>
    <t>Better to have cells</t>
  </si>
  <si>
    <t>Optional cells</t>
  </si>
  <si>
    <t>Do not modify cells</t>
  </si>
  <si>
    <t>#</t>
  </si>
  <si>
    <t>Assumption</t>
  </si>
  <si>
    <t>Value</t>
  </si>
  <si>
    <t>Average number of CPU in a physical server</t>
  </si>
  <si>
    <t>Average number of vCPU for 1 physical CPU</t>
  </si>
  <si>
    <t>Quantity of a rack used to store 1 physical server</t>
  </si>
  <si>
    <t xml:space="preserve">The ratio of CPU/RAM dedicated to log generation by non cyber PCs </t>
  </si>
  <si>
    <t xml:space="preserve">The ratio of CPU/RAM dedicated to antivirus by non cyber PCs </t>
  </si>
  <si>
    <t>The ratio of CPU/RAM dedicated to log generation by non-cyber servers</t>
  </si>
  <si>
    <t>The ratio of CPU/RAM dedicated to antivirus/patch by non-cyber servers</t>
  </si>
  <si>
    <t>Total (tCO2e)</t>
  </si>
  <si>
    <t>Total scope 2</t>
  </si>
  <si>
    <t>Total scope 3</t>
  </si>
  <si>
    <t>Simplified Emission Requirement</t>
  </si>
  <si>
    <t>Total yearly CO2e emissions (kgCO2e)</t>
  </si>
  <si>
    <t>Total yearly CO2e emissions (%)</t>
  </si>
  <si>
    <t>Cyber Devices emissions kgCO2e</t>
  </si>
  <si>
    <t>Cyber Devices details</t>
  </si>
  <si>
    <t>Network emissions kgCO2e</t>
  </si>
  <si>
    <t>Network details</t>
  </si>
  <si>
    <t>Backup servers emissions kgCO2e</t>
  </si>
  <si>
    <t>Backup servers details</t>
  </si>
  <si>
    <t>Cyber software infra emissions kgCO2e</t>
  </si>
  <si>
    <t>Cyber software infra details</t>
  </si>
  <si>
    <t>External services emissions kgCO2e</t>
  </si>
  <si>
    <t>External services details</t>
  </si>
  <si>
    <t>Travel emissions kgCO2e</t>
  </si>
  <si>
    <t>Travel details</t>
  </si>
  <si>
    <t>Non cyber equiments emissions kgCO2e2</t>
  </si>
  <si>
    <t>Non cyber equiments detail</t>
  </si>
  <si>
    <t>Tools are used by application security experts for Software Development Life Cycle.</t>
  </si>
  <si>
    <t>Supervision tools (e.g. Centreon) are used on applications level.</t>
  </si>
  <si>
    <t>Assets or hard drives may be destroyed for security reasons when taken out of production.</t>
  </si>
  <si>
    <t>Redundancy capabilities between datacenters in different regions are set up.</t>
  </si>
  <si>
    <t>Backup capabilities are set up.</t>
  </si>
  <si>
    <t>Bastion are used to access cloud consoles.</t>
  </si>
  <si>
    <t>A Zero-Trust identity-based security model is used.</t>
  </si>
  <si>
    <t>Data classification (e.g. BoldonJames, AIP) and data mapping tools are used.</t>
  </si>
  <si>
    <t>A personal data registrer is up to date and controlled.</t>
  </si>
  <si>
    <t>A DRM (Digital Risk Management) solution (e.g. Varonis, AIP) is used to detect data leak on the Internet.</t>
  </si>
  <si>
    <t>Sensitive data in transit is secured ( via a DPL solution, SIEM rules, a secured exchange solution).</t>
  </si>
  <si>
    <t>Unstructured data leakage is prevented by DLP solutions on desktops (e.g. Varonis, Symantec).</t>
  </si>
  <si>
    <t>DLP solutions are are deployed on network points to prevent data leaks.</t>
  </si>
  <si>
    <t>Tools are available to perform data desensitization.</t>
  </si>
  <si>
    <t>An automated monitoring is carried out on the Internet to detect data leak (e.g. via CyberAngel offer).</t>
  </si>
  <si>
    <t>Data is encrypted.</t>
  </si>
  <si>
    <t>Logs are collected : network security systems logs, security solutions logs, infrastructure logs, business applications logs.</t>
  </si>
  <si>
    <t>Logs are analyzed : security devices logs, security solutions logs, infrastructure logs, business applications logs</t>
  </si>
  <si>
    <t>Logs are centralized in a SIEM (e.g. Splunk, Logpoint) and abnormal events are detected via detection scenarios and remediated.</t>
  </si>
  <si>
    <t>CTI sources are used to cover the entire company scope.</t>
  </si>
  <si>
    <t>IOCs are qualified and correlated.</t>
  </si>
  <si>
    <t>IDS and IPS are activated and connected to the SIEM.</t>
  </si>
  <si>
    <t>Detection probes (e.g. Darktrace, Vectra) are deployed on the IS.</t>
  </si>
  <si>
    <t>An EDR (e.g. Symantec, SentinelOne, Fireeye) and sandboxing are used to detect malware at infrastructure level.</t>
  </si>
  <si>
    <t>Anti-malware solutions and host IPS are deployed on all workstations.</t>
  </si>
  <si>
    <t>EDR (e.g. SentinelOne, Symantec, FireEye) is deployed on all workstations.</t>
  </si>
  <si>
    <t>Device Management tools (e.g. SCCM, Intune, Tanium, Jamf) are deployed on workstations.</t>
  </si>
  <si>
    <t>Remote access is secured using an encrypted VPN (e.g. NetScale, Pulse, Cisco), host-checking, MFA.</t>
  </si>
  <si>
    <t>Removable media are protected within and outside the organisation premises (anti-malware software scanning, USB sandbox, encrypted removable media).</t>
  </si>
  <si>
    <t>Device Management tools (e.g. MDM, Microsoft Intune, Mobile Iron, AirWatch) are implemented for mobile devices.</t>
  </si>
  <si>
    <t>The email platform is security via an anti-virus scan, TLS encryption, a relay server, an anti-spam and anti-phishing service, an advanced threat protection (e.g. Windows ATP, Proofpoint).</t>
  </si>
  <si>
    <t>Dedicated workstations are used for administrators.</t>
  </si>
  <si>
    <t>A cybersecurity dedicated organization is in place with defined roles and responsabilities.</t>
  </si>
  <si>
    <t>Cybersecurity awareness is raised among the internal and external staff via trainings, tests for specific populations, serious games.</t>
  </si>
  <si>
    <t>A dashboard is formalized to monitor the security level of the information system.</t>
  </si>
  <si>
    <t>An identity lifecycle management tool (e.g. SailPoint, Oracle, IBM, One Identity) is used to manage user identities.</t>
  </si>
  <si>
    <t>Alternative mechanisms are used for technical identities authentication, such as hardware keys.</t>
  </si>
  <si>
    <t>A security incident management process is implemented, documented and controlled.</t>
  </si>
  <si>
    <t>Tools are used for forensic investigations (e.g. EnCase).</t>
  </si>
  <si>
    <t>Cyber response contractors are mobilized during a crisis or incident.</t>
  </si>
  <si>
    <t>Applications are secured using firewalls, IPS, reverse proxy and WAF.</t>
  </si>
  <si>
    <t>Network segmentation rules are implemented.</t>
  </si>
  <si>
    <t>Network flows are protected, for exemple via an automatic micro segmentation tool (eg. Illumio).</t>
  </si>
  <si>
    <t>Data flows are identified, mapped and centralised in a global tool (e.g. Tufin, AlgoSec).</t>
  </si>
  <si>
    <t>Automatic tools scan the network (e.g. NetFlow Cisco, J-Flow from Juniper, Darktrace) to detect unauthorized or unusual flow.</t>
  </si>
  <si>
    <t>Automatic reporting and real-time detection of shadow IT is operational, for example using a data flow discovery tool (e.g. Tufin, AlgoSec and/or via a CASB).</t>
  </si>
  <si>
    <t>All Internet accesses are done through a proxy management by the company.</t>
  </si>
  <si>
    <t>Protection measures are implemented regarding all browsing, such as proxy, web page scanning, sandboxing, TLS decryption.</t>
  </si>
  <si>
    <t>Internet-facing services are secured through an applicative-based anti-DDoS solution.</t>
  </si>
  <si>
    <t>An IS dedicated to administration and just-in-time authentication are implemented to prevent unauthorized access when performing remote administration.</t>
  </si>
  <si>
    <t>External workstations connections to company network are prevented using NAC (e.g. ForeScout, Palo Alto) and segregation based on the asset type.</t>
  </si>
  <si>
    <t>Vulnerability scans (e.g. Qualys), code review (e.g. Checkmarx, Fortify, Veracode), penetration tests (e.g. BURP, ZAP) are performed.</t>
  </si>
  <si>
    <t>Hardening is done on critical infrastructures.</t>
  </si>
  <si>
    <t>Vulnerability scans (e.g. Qualys, Rapid7, Acunetix, Tenable, OpenVAS) are done on servers OS, middleware, database, network infrastructure.</t>
  </si>
  <si>
    <t>Security patching on servers OS, middleware, database and network infrastructure is done using tools (e.g. WSUS, SEP).</t>
  </si>
  <si>
    <t>Virtual patching (e.g. Trend Micro) is done.</t>
  </si>
  <si>
    <t>All changes are consolidated in a single centralized ITSM tool (e.g. Service Now).</t>
  </si>
  <si>
    <t>Differences with configuration baselines are identified in real time using tools (e.g. Pupet, Ansible, Qualys, BigFix).</t>
  </si>
  <si>
    <t>Tier 0 (sensitive area for AD management) is separated from the rest of the IS, using a dedicated workstation of the domain Administrator and dedicated infrastructure for the administation of Tier 0.</t>
  </si>
  <si>
    <t>Infrastructures are in place to manage the lifecycles of used certificates, such as single main PKI, inventory and scanning tools.</t>
  </si>
  <si>
    <t>Privated keys of certification authorities are secured in HSMs or in a physical safe.</t>
  </si>
  <si>
    <t>Secured means are used to deploy udpates remotely (MFA, tests on a non-production environment).</t>
  </si>
  <si>
    <t>A regular backup of the data is carried out on the company's assets, including disconnected equipment and a rapid reconstruction tool is available in case of crisis.</t>
  </si>
  <si>
    <t>Company threats are identified and consolidated.</t>
  </si>
  <si>
    <t>Risks are determined at projects/products level  (formalized toolkit, adapted to agile projects, periodical reviews).</t>
  </si>
  <si>
    <t>Following an acquisition and before any new connection, the security measures implementation is checked.</t>
  </si>
  <si>
    <t>Technical and organizational security audits are performed on the IS.</t>
  </si>
  <si>
    <t>A process is in place to evaluate the compliance of third-parties contractual obligations.</t>
  </si>
  <si>
    <t>Topic</t>
  </si>
  <si>
    <t>tCO2e</t>
  </si>
  <si>
    <t>%</t>
  </si>
  <si>
    <t>Emission by category (tCO2e)</t>
  </si>
  <si>
    <t>Backup Servers</t>
  </si>
  <si>
    <t>Cyber Software Infrastructure</t>
  </si>
  <si>
    <t>Non cyber equipments</t>
  </si>
  <si>
    <t>Category</t>
  </si>
  <si>
    <t>Scope 2 (tCO2e)</t>
  </si>
  <si>
    <t>Scope 3 (tCO2e)</t>
  </si>
  <si>
    <t>Scope 2</t>
  </si>
  <si>
    <t>Scope 3</t>
  </si>
  <si>
    <t>Subcategory</t>
  </si>
  <si>
    <t>Laptop (Log, Antivirus)</t>
  </si>
  <si>
    <t>Desktop (Log, Antivirus)</t>
  </si>
  <si>
    <t>Servers (Log, Antivirus)</t>
  </si>
  <si>
    <t>Backup and redonduncy servers</t>
  </si>
  <si>
    <t>Backup</t>
  </si>
  <si>
    <t>Redundancy</t>
  </si>
  <si>
    <t>Cyber software infrastructure</t>
  </si>
  <si>
    <t>On premise</t>
  </si>
  <si>
    <t>On cloud</t>
  </si>
  <si>
    <t>Workstation_Computer</t>
  </si>
  <si>
    <t>Proxy/Reverse-proxy</t>
  </si>
  <si>
    <t>Firewall/WAF</t>
  </si>
  <si>
    <t>IPS/IDS</t>
  </si>
  <si>
    <t>T&amp;M Services</t>
  </si>
  <si>
    <t>Fixed Price</t>
  </si>
  <si>
    <t>Synthesis Client</t>
  </si>
  <si>
    <t>Actions</t>
  </si>
  <si>
    <t>Sources</t>
  </si>
  <si>
    <t>Action X</t>
  </si>
  <si>
    <t>X%</t>
  </si>
  <si>
    <t>Action Y</t>
  </si>
  <si>
    <t>Source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</si>
</sst>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0.000"/>
    <numFmt numFmtId="167" formatCode="_-* #,##0_-;\-* #,##0_-;_-* &quot;-&quot;??_-;_-@_-"/>
    <numFmt numFmtId="168" formatCode="0.0%"/>
    <numFmt numFmtId="169" formatCode="#,##0\ &quot;€&quot;"/>
  </numFmts>
  <fonts count="4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theme="0"/>
      <name val="Calibri"/>
      <family val="2"/>
      <scheme val="minor"/>
    </font>
    <font>
      <sz val="9"/>
      <color indexed="81"/>
      <name val="Tahoma"/>
      <family val="2"/>
    </font>
    <font>
      <b/>
      <sz val="11"/>
      <color rgb="FF000000"/>
      <name val="Calibri"/>
      <family val="2"/>
      <scheme val="minor"/>
    </font>
    <font>
      <sz val="11"/>
      <color rgb="FF000000"/>
      <name val="Calibri"/>
      <family val="2"/>
      <scheme val="minor"/>
    </font>
    <font>
      <b/>
      <sz val="11"/>
      <color rgb="FFFFFFFF"/>
      <name val="Calibri"/>
      <family val="2"/>
      <scheme val="minor"/>
    </font>
    <font>
      <i/>
      <sz val="11"/>
      <color theme="1"/>
      <name val="Calibri"/>
      <family val="2"/>
      <scheme val="minor"/>
    </font>
    <font>
      <sz val="11"/>
      <name val="Calibri"/>
      <family val="2"/>
      <scheme val="minor"/>
    </font>
    <font>
      <sz val="11"/>
      <color theme="1"/>
      <name val="Calibri"/>
      <family val="2"/>
      <scheme val="minor"/>
    </font>
    <font>
      <sz val="8"/>
      <name val="Calibri"/>
      <family val="2"/>
      <scheme val="minor"/>
    </font>
    <font>
      <b/>
      <sz val="11"/>
      <color rgb="FFFFFFFF"/>
      <name val="Calibri"/>
      <family val="2"/>
    </font>
    <font>
      <sz val="11"/>
      <color theme="1"/>
      <name val="Calibri"/>
      <family val="2"/>
    </font>
    <font>
      <sz val="11"/>
      <color theme="0" tint="-0.34998626667073579"/>
      <name val="Calibri"/>
      <family val="2"/>
      <scheme val="minor"/>
    </font>
    <font>
      <sz val="11"/>
      <color theme="1"/>
      <name val="Calibri"/>
      <family val="2"/>
    </font>
    <font>
      <sz val="11"/>
      <color theme="0" tint="-0.499984740745262"/>
      <name val="Calibri"/>
      <family val="2"/>
      <scheme val="minor"/>
    </font>
    <font>
      <b/>
      <sz val="10"/>
      <color rgb="FFFFFFFF"/>
      <name val="Calibri"/>
      <family val="2"/>
    </font>
    <font>
      <sz val="10"/>
      <color theme="1"/>
      <name val="Calibri"/>
      <family val="2"/>
      <scheme val="minor"/>
    </font>
    <font>
      <sz val="10"/>
      <color theme="1"/>
      <name val="Calibri"/>
      <family val="2"/>
    </font>
    <font>
      <b/>
      <sz val="14"/>
      <color theme="1"/>
      <name val="Calibri"/>
      <family val="2"/>
      <scheme val="minor"/>
    </font>
    <font>
      <b/>
      <sz val="18"/>
      <color theme="1"/>
      <name val="Calibri"/>
      <family val="2"/>
      <scheme val="minor"/>
    </font>
    <font>
      <sz val="12"/>
      <name val="Calibri"/>
      <family val="2"/>
      <scheme val="minor"/>
    </font>
    <font>
      <sz val="16"/>
      <name val="Calibri"/>
      <family val="2"/>
      <scheme val="minor"/>
    </font>
    <font>
      <b/>
      <sz val="16"/>
      <name val="Calibri"/>
      <family val="2"/>
      <scheme val="minor"/>
    </font>
    <font>
      <b/>
      <u/>
      <sz val="11"/>
      <name val="Calibri"/>
      <family val="2"/>
      <scheme val="minor"/>
    </font>
    <font>
      <b/>
      <sz val="16"/>
      <color rgb="FFFF0000"/>
      <name val="Calibri"/>
      <family val="2"/>
      <scheme val="minor"/>
    </font>
    <font>
      <sz val="9"/>
      <name val="Calibri"/>
      <family val="2"/>
      <scheme val="minor"/>
    </font>
    <font>
      <sz val="11"/>
      <color rgb="FF00B050"/>
      <name val="Calibri"/>
      <family val="2"/>
      <scheme val="minor"/>
    </font>
    <font>
      <sz val="11"/>
      <color rgb="FFFF0000"/>
      <name val="Calibri"/>
      <family val="2"/>
      <scheme val="minor"/>
    </font>
    <font>
      <b/>
      <sz val="12"/>
      <color indexed="9"/>
      <name val="Calibri"/>
      <family val="2"/>
      <scheme val="minor"/>
    </font>
    <font>
      <b/>
      <sz val="11"/>
      <color rgb="FFFF0000"/>
      <name val="Calibri"/>
      <family val="2"/>
      <scheme val="minor"/>
    </font>
    <font>
      <sz val="11"/>
      <color theme="2" tint="-9.9978637043366805E-2"/>
      <name val="Calibri"/>
      <family val="2"/>
      <scheme val="minor"/>
    </font>
    <font>
      <b/>
      <sz val="14"/>
      <color rgb="FFFF0000"/>
      <name val="Calibri"/>
      <family val="2"/>
      <scheme val="minor"/>
    </font>
    <font>
      <sz val="16"/>
      <color rgb="FF000000"/>
      <name val="Calibri"/>
      <family val="2"/>
      <scheme val="minor"/>
    </font>
    <font>
      <b/>
      <sz val="16"/>
      <color rgb="FF000000"/>
      <name val="Calibri"/>
      <family val="2"/>
      <scheme val="minor"/>
    </font>
    <font>
      <sz val="11"/>
      <color theme="5"/>
      <name val="Calibri"/>
      <family val="2"/>
      <scheme val="minor"/>
    </font>
    <font>
      <b/>
      <sz val="11"/>
      <color theme="5"/>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rgb="FF7030A0"/>
        <bgColor indexed="64"/>
      </patternFill>
    </fill>
    <fill>
      <patternFill patternType="solid">
        <fgColor rgb="FF002060"/>
        <bgColor indexed="64"/>
      </patternFill>
    </fill>
    <fill>
      <patternFill patternType="solid">
        <fgColor rgb="FFC3BBEB"/>
        <bgColor indexed="64"/>
      </patternFill>
    </fill>
    <fill>
      <patternFill patternType="solid">
        <fgColor theme="7" tint="0.79998168889431442"/>
        <bgColor indexed="64"/>
      </patternFill>
    </fill>
    <fill>
      <patternFill patternType="solid">
        <fgColor rgb="FF5B9BD5"/>
        <bgColor rgb="FF5B9BD5"/>
      </patternFill>
    </fill>
    <fill>
      <patternFill patternType="solid">
        <fgColor rgb="FFFFFFFF"/>
        <bgColor rgb="FF000000"/>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bgColor rgb="FFB24669"/>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CCC"/>
        <bgColor indexed="64"/>
      </patternFill>
    </fill>
    <fill>
      <patternFill patternType="solid">
        <fgColor theme="3"/>
        <bgColor indexed="64"/>
      </patternFill>
    </fill>
    <fill>
      <patternFill patternType="solid">
        <fgColor theme="5" tint="-0.249977111117893"/>
        <bgColor indexed="64"/>
      </patternFill>
    </fill>
    <fill>
      <patternFill patternType="solid">
        <fgColor theme="7"/>
        <bgColor indexed="64"/>
      </patternFill>
    </fill>
    <fill>
      <patternFill patternType="solid">
        <fgColor theme="4" tint="0.79998168889431442"/>
        <bgColor indexed="64"/>
      </patternFill>
    </fill>
    <fill>
      <patternFill patternType="solid">
        <fgColor theme="4" tint="0.59999389629810485"/>
        <bgColor rgb="FFB24669"/>
      </patternFill>
    </fill>
    <fill>
      <patternFill patternType="solid">
        <fgColor theme="4" tint="-0.249977111117893"/>
        <bgColor rgb="FFB24669"/>
      </patternFill>
    </fill>
    <fill>
      <patternFill patternType="solid">
        <fgColor theme="4" tint="-0.249977111117893"/>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0" tint="-0.499984740745262"/>
      </bottom>
      <diagonal/>
    </border>
    <border>
      <left style="thin">
        <color theme="0" tint="-0.499984740745262"/>
      </left>
      <right/>
      <top/>
      <bottom/>
      <diagonal/>
    </border>
    <border>
      <left/>
      <right/>
      <top/>
      <bottom style="thin">
        <color rgb="FF808080"/>
      </bottom>
      <diagonal/>
    </border>
    <border>
      <left/>
      <right/>
      <top style="thin">
        <color theme="1"/>
      </top>
      <bottom/>
      <diagonal/>
    </border>
    <border>
      <left/>
      <right/>
      <top style="thin">
        <color theme="0" tint="-0.499984740745262"/>
      </top>
      <bottom style="thin">
        <color theme="0" tint="-0.499984740745262"/>
      </bottom>
      <diagonal/>
    </border>
    <border>
      <left/>
      <right style="thin">
        <color theme="0" tint="-0.499984740745262"/>
      </right>
      <top/>
      <bottom style="thin">
        <color rgb="FF808080"/>
      </bottom>
      <diagonal/>
    </border>
    <border>
      <left style="thin">
        <color theme="0" tint="-0.499984740745262"/>
      </left>
      <right style="thin">
        <color theme="0" tint="-0.499984740745262"/>
      </right>
      <top/>
      <bottom style="thin">
        <color rgb="FF808080"/>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s>
  <cellStyleXfs count="4">
    <xf numFmtId="0" fontId="0" fillId="0" borderId="0"/>
    <xf numFmtId="0" fontId="4" fillId="0" borderId="0" applyNumberFormat="0" applyFill="0" applyBorder="0" applyAlignment="0" applyProtection="0"/>
    <xf numFmtId="164" fontId="12" fillId="0" borderId="0" applyFont="0" applyFill="0" applyBorder="0" applyAlignment="0" applyProtection="0"/>
    <xf numFmtId="9" fontId="12" fillId="0" borderId="0" applyFont="0" applyFill="0" applyBorder="0" applyAlignment="0" applyProtection="0"/>
  </cellStyleXfs>
  <cellXfs count="332">
    <xf numFmtId="0" fontId="0" fillId="0" borderId="0" xfId="0"/>
    <xf numFmtId="0" fontId="0" fillId="0" borderId="0" xfId="0" applyAlignment="1">
      <alignment horizontal="center" vertical="center"/>
    </xf>
    <xf numFmtId="1" fontId="0" fillId="0" borderId="0" xfId="0" applyNumberFormat="1" applyAlignment="1">
      <alignment horizontal="center" vertical="center"/>
    </xf>
    <xf numFmtId="0" fontId="0" fillId="0" borderId="0" xfId="0" applyAlignment="1">
      <alignment vertical="center"/>
    </xf>
    <xf numFmtId="0" fontId="0" fillId="2" borderId="0" xfId="0" applyFill="1" applyAlignment="1">
      <alignment vertical="center"/>
    </xf>
    <xf numFmtId="0" fontId="0" fillId="0" borderId="0" xfId="0" applyAlignment="1">
      <alignment vertical="center" wrapText="1"/>
    </xf>
    <xf numFmtId="0" fontId="4" fillId="0" borderId="0" xfId="1"/>
    <xf numFmtId="0" fontId="3" fillId="5" borderId="0" xfId="0" applyFont="1" applyFill="1" applyAlignment="1">
      <alignment vertical="center" wrapText="1"/>
    </xf>
    <xf numFmtId="0" fontId="0" fillId="6" borderId="0" xfId="0" applyFill="1" applyAlignment="1">
      <alignment vertical="center"/>
    </xf>
    <xf numFmtId="0" fontId="0" fillId="6" borderId="0" xfId="0" applyFill="1" applyAlignment="1">
      <alignment horizontal="center" vertical="center"/>
    </xf>
    <xf numFmtId="1" fontId="0" fillId="6" borderId="0" xfId="0" applyNumberFormat="1" applyFill="1" applyAlignment="1">
      <alignment horizontal="center" vertical="center"/>
    </xf>
    <xf numFmtId="0" fontId="4" fillId="6" borderId="0" xfId="1" applyFill="1" applyBorder="1" applyAlignment="1">
      <alignment vertical="center"/>
    </xf>
    <xf numFmtId="2" fontId="0" fillId="6" borderId="0" xfId="0" applyNumberFormat="1" applyFill="1" applyAlignment="1">
      <alignment horizontal="center" vertical="center"/>
    </xf>
    <xf numFmtId="0" fontId="0" fillId="0" borderId="0" xfId="0" applyAlignment="1">
      <alignment horizontal="left" vertical="center" wrapText="1"/>
    </xf>
    <xf numFmtId="0" fontId="3" fillId="5" borderId="0" xfId="0" applyFont="1" applyFill="1" applyAlignment="1">
      <alignment vertical="center"/>
    </xf>
    <xf numFmtId="0" fontId="0" fillId="2" borderId="0" xfId="0" applyFill="1" applyAlignment="1">
      <alignment horizontal="center" vertical="center"/>
    </xf>
    <xf numFmtId="1" fontId="0" fillId="2" borderId="0" xfId="0" applyNumberFormat="1" applyFill="1" applyAlignment="1">
      <alignment horizontal="center" vertical="center"/>
    </xf>
    <xf numFmtId="0" fontId="4" fillId="2" borderId="0" xfId="1" applyFill="1" applyBorder="1" applyAlignment="1">
      <alignment vertical="center"/>
    </xf>
    <xf numFmtId="0" fontId="4" fillId="6" borderId="0" xfId="1" applyFill="1" applyAlignment="1">
      <alignment vertical="center"/>
    </xf>
    <xf numFmtId="0" fontId="7" fillId="0" borderId="0" xfId="0" applyFont="1"/>
    <xf numFmtId="0" fontId="8" fillId="0" borderId="0" xfId="0" applyFont="1"/>
    <xf numFmtId="0" fontId="9" fillId="8" borderId="0" xfId="0" applyFont="1" applyFill="1"/>
    <xf numFmtId="0" fontId="2" fillId="0" borderId="0" xfId="0" applyFont="1"/>
    <xf numFmtId="0" fontId="0" fillId="0" borderId="0" xfId="0" applyAlignment="1">
      <alignment wrapText="1"/>
    </xf>
    <xf numFmtId="1" fontId="0" fillId="0" borderId="0" xfId="0" applyNumberFormat="1"/>
    <xf numFmtId="0" fontId="3" fillId="0" borderId="0" xfId="0" applyFont="1" applyAlignment="1">
      <alignment vertical="center" wrapText="1"/>
    </xf>
    <xf numFmtId="0" fontId="11" fillId="0" borderId="0" xfId="0" applyFont="1" applyAlignment="1">
      <alignment vertical="center" wrapText="1"/>
    </xf>
    <xf numFmtId="0" fontId="15" fillId="0" borderId="3" xfId="0" applyFont="1" applyBorder="1" applyAlignment="1">
      <alignment vertical="center" wrapText="1"/>
    </xf>
    <xf numFmtId="0" fontId="15" fillId="0" borderId="3" xfId="0" quotePrefix="1" applyFont="1" applyBorder="1" applyAlignment="1">
      <alignment vertical="center" wrapText="1"/>
    </xf>
    <xf numFmtId="0" fontId="15" fillId="0" borderId="0" xfId="0" applyFont="1" applyAlignment="1">
      <alignment vertical="center" wrapText="1"/>
    </xf>
    <xf numFmtId="0" fontId="0" fillId="0" borderId="3" xfId="0" applyBorder="1" applyAlignment="1">
      <alignment wrapText="1"/>
    </xf>
    <xf numFmtId="0" fontId="0" fillId="0" borderId="3" xfId="0" applyBorder="1" applyAlignment="1">
      <alignment vertical="center" wrapText="1"/>
    </xf>
    <xf numFmtId="0" fontId="16" fillId="0" borderId="0" xfId="0" applyFont="1"/>
    <xf numFmtId="168" fontId="0" fillId="0" borderId="5" xfId="3" applyNumberFormat="1" applyFont="1" applyBorder="1" applyAlignment="1">
      <alignment vertical="center" wrapText="1"/>
    </xf>
    <xf numFmtId="166" fontId="0" fillId="0" borderId="0" xfId="0" applyNumberFormat="1" applyAlignment="1">
      <alignment horizontal="center" vertical="center"/>
    </xf>
    <xf numFmtId="0" fontId="4" fillId="0" borderId="0" xfId="1" applyFill="1" applyAlignment="1">
      <alignment vertical="center"/>
    </xf>
    <xf numFmtId="0" fontId="4" fillId="0" borderId="0" xfId="1" applyFill="1" applyBorder="1" applyAlignment="1">
      <alignment vertical="center"/>
    </xf>
    <xf numFmtId="2" fontId="0" fillId="0" borderId="0" xfId="0" applyNumberFormat="1" applyAlignment="1">
      <alignment horizontal="center" vertical="center"/>
    </xf>
    <xf numFmtId="166" fontId="0" fillId="6" borderId="0" xfId="0" applyNumberFormat="1" applyFill="1" applyAlignment="1">
      <alignment horizontal="center" vertical="center"/>
    </xf>
    <xf numFmtId="0" fontId="0" fillId="6" borderId="0" xfId="0" applyFill="1" applyAlignment="1">
      <alignment horizontal="left" vertical="center" wrapText="1"/>
    </xf>
    <xf numFmtId="0" fontId="17" fillId="0" borderId="0" xfId="0" applyFont="1" applyAlignment="1">
      <alignment vertical="center" wrapText="1"/>
    </xf>
    <xf numFmtId="0" fontId="0" fillId="6" borderId="0" xfId="0" applyFill="1" applyAlignment="1">
      <alignment vertical="center" wrapText="1"/>
    </xf>
    <xf numFmtId="0" fontId="0" fillId="6" borderId="0" xfId="0" applyFill="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1" fontId="0" fillId="0" borderId="0" xfId="0" applyNumberFormat="1" applyAlignment="1">
      <alignment horizontal="center" vertical="center" wrapText="1"/>
    </xf>
    <xf numFmtId="1" fontId="0" fillId="6" borderId="0" xfId="0" applyNumberFormat="1" applyFill="1" applyAlignment="1">
      <alignment horizontal="center" vertical="center" wrapText="1"/>
    </xf>
    <xf numFmtId="0" fontId="4" fillId="0" borderId="0" xfId="1" applyBorder="1"/>
    <xf numFmtId="0" fontId="4" fillId="6" borderId="0" xfId="1" applyFill="1" applyBorder="1"/>
    <xf numFmtId="0" fontId="14" fillId="17" borderId="3" xfId="0" applyFont="1" applyFill="1" applyBorder="1" applyAlignment="1">
      <alignment horizontal="center" vertical="center" wrapText="1"/>
    </xf>
    <xf numFmtId="167" fontId="2" fillId="15" borderId="10" xfId="2" applyNumberFormat="1" applyFont="1" applyFill="1" applyBorder="1" applyAlignment="1">
      <alignment vertical="center" wrapText="1"/>
    </xf>
    <xf numFmtId="167" fontId="0" fillId="0" borderId="3" xfId="2" applyNumberFormat="1" applyFont="1" applyBorder="1" applyAlignment="1">
      <alignment vertical="center" wrapText="1"/>
    </xf>
    <xf numFmtId="9" fontId="0" fillId="0" borderId="0" xfId="0" applyNumberFormat="1"/>
    <xf numFmtId="0" fontId="2" fillId="0" borderId="0" xfId="0" applyFont="1" applyAlignment="1">
      <alignment vertical="center"/>
    </xf>
    <xf numFmtId="0" fontId="1" fillId="13" borderId="12" xfId="0" applyFont="1" applyFill="1" applyBorder="1" applyAlignment="1">
      <alignment wrapText="1"/>
    </xf>
    <xf numFmtId="0" fontId="1" fillId="13" borderId="4" xfId="0" applyFont="1" applyFill="1" applyBorder="1" applyAlignment="1">
      <alignment wrapText="1"/>
    </xf>
    <xf numFmtId="0" fontId="1" fillId="13" borderId="6" xfId="0" applyFont="1" applyFill="1" applyBorder="1" applyAlignment="1">
      <alignment wrapText="1"/>
    </xf>
    <xf numFmtId="0" fontId="3" fillId="13" borderId="6" xfId="0" applyFont="1" applyFill="1" applyBorder="1" applyAlignment="1">
      <alignment vertical="center" wrapText="1"/>
    </xf>
    <xf numFmtId="0" fontId="0" fillId="15" borderId="5" xfId="0" applyFill="1" applyBorder="1"/>
    <xf numFmtId="0" fontId="0" fillId="15" borderId="15" xfId="0" applyFill="1" applyBorder="1"/>
    <xf numFmtId="0" fontId="0" fillId="13" borderId="6" xfId="0" applyFill="1" applyBorder="1"/>
    <xf numFmtId="0" fontId="0" fillId="13" borderId="18" xfId="0" applyFill="1" applyBorder="1"/>
    <xf numFmtId="0" fontId="2" fillId="13" borderId="7" xfId="0" applyFont="1" applyFill="1" applyBorder="1"/>
    <xf numFmtId="0" fontId="1" fillId="13" borderId="18" xfId="0" applyFont="1" applyFill="1" applyBorder="1" applyAlignment="1">
      <alignment wrapText="1"/>
    </xf>
    <xf numFmtId="0" fontId="1" fillId="13" borderId="18" xfId="0" applyFont="1" applyFill="1" applyBorder="1" applyAlignment="1">
      <alignment vertical="center" wrapText="1"/>
    </xf>
    <xf numFmtId="0" fontId="1" fillId="13" borderId="6" xfId="0" applyFont="1" applyFill="1" applyBorder="1" applyAlignment="1">
      <alignment vertical="center" wrapText="1"/>
    </xf>
    <xf numFmtId="0" fontId="1" fillId="13" borderId="7" xfId="0" applyFont="1" applyFill="1" applyBorder="1" applyAlignment="1">
      <alignment vertical="center" wrapText="1"/>
    </xf>
    <xf numFmtId="0" fontId="0" fillId="0" borderId="8" xfId="0" applyBorder="1" applyAlignment="1">
      <alignment wrapText="1"/>
    </xf>
    <xf numFmtId="1" fontId="11" fillId="12" borderId="13" xfId="0" applyNumberFormat="1" applyFont="1" applyFill="1" applyBorder="1"/>
    <xf numFmtId="1" fontId="0" fillId="12" borderId="13" xfId="0" applyNumberFormat="1" applyFill="1" applyBorder="1"/>
    <xf numFmtId="1" fontId="0" fillId="12" borderId="14" xfId="0" applyNumberFormat="1" applyFill="1" applyBorder="1"/>
    <xf numFmtId="2" fontId="11" fillId="12" borderId="13" xfId="0" applyNumberFormat="1" applyFont="1" applyFill="1" applyBorder="1"/>
    <xf numFmtId="0" fontId="4" fillId="0" borderId="0" xfId="1" applyAlignment="1">
      <alignment vertical="center"/>
    </xf>
    <xf numFmtId="0" fontId="1" fillId="4" borderId="1" xfId="0" applyFont="1" applyFill="1" applyBorder="1" applyAlignment="1">
      <alignment vertical="center"/>
    </xf>
    <xf numFmtId="0" fontId="1" fillId="4" borderId="2" xfId="0" applyFont="1" applyFill="1" applyBorder="1" applyAlignment="1">
      <alignment vertical="center"/>
    </xf>
    <xf numFmtId="0" fontId="0" fillId="6" borderId="19" xfId="0" applyFill="1" applyBorder="1" applyAlignment="1">
      <alignment vertical="center" wrapText="1"/>
    </xf>
    <xf numFmtId="0" fontId="0" fillId="6" borderId="20" xfId="0" applyFill="1" applyBorder="1" applyAlignment="1">
      <alignment vertical="center"/>
    </xf>
    <xf numFmtId="0" fontId="0" fillId="6" borderId="20" xfId="0" applyFill="1" applyBorder="1" applyAlignment="1">
      <alignment vertical="center" wrapText="1"/>
    </xf>
    <xf numFmtId="0" fontId="0" fillId="6" borderId="20" xfId="0" applyFill="1" applyBorder="1" applyAlignment="1">
      <alignment horizontal="left" vertical="center" wrapText="1"/>
    </xf>
    <xf numFmtId="0" fontId="0" fillId="6" borderId="20" xfId="0" applyFill="1" applyBorder="1" applyAlignment="1">
      <alignment horizontal="center" vertical="center"/>
    </xf>
    <xf numFmtId="168" fontId="0" fillId="0" borderId="0" xfId="3" applyNumberFormat="1" applyFont="1" applyAlignment="1">
      <alignment vertical="center"/>
    </xf>
    <xf numFmtId="0" fontId="0" fillId="11" borderId="0" xfId="0" applyFill="1" applyAlignment="1">
      <alignment vertical="center"/>
    </xf>
    <xf numFmtId="0" fontId="10" fillId="0" borderId="0" xfId="0" applyFont="1" applyAlignment="1">
      <alignment vertical="center"/>
    </xf>
    <xf numFmtId="0" fontId="2" fillId="7" borderId="3" xfId="0" applyFont="1" applyFill="1" applyBorder="1" applyAlignment="1">
      <alignment vertical="center"/>
    </xf>
    <xf numFmtId="0" fontId="18" fillId="14" borderId="3" xfId="0" applyFont="1" applyFill="1" applyBorder="1" applyAlignment="1">
      <alignment vertical="center"/>
    </xf>
    <xf numFmtId="9" fontId="0" fillId="14" borderId="3" xfId="0" applyNumberFormat="1" applyFill="1" applyBorder="1" applyAlignment="1">
      <alignment vertical="center"/>
    </xf>
    <xf numFmtId="0" fontId="0" fillId="7" borderId="3" xfId="0" applyFill="1" applyBorder="1" applyAlignment="1">
      <alignment vertical="center"/>
    </xf>
    <xf numFmtId="168" fontId="0" fillId="0" borderId="3" xfId="3" applyNumberFormat="1" applyFont="1" applyBorder="1" applyAlignment="1">
      <alignment vertical="center"/>
    </xf>
    <xf numFmtId="168" fontId="0" fillId="0" borderId="6" xfId="3" applyNumberFormat="1" applyFont="1" applyBorder="1" applyAlignment="1">
      <alignment vertical="center"/>
    </xf>
    <xf numFmtId="168" fontId="0" fillId="0" borderId="6" xfId="0" applyNumberFormat="1" applyBorder="1" applyAlignment="1">
      <alignment vertical="center"/>
    </xf>
    <xf numFmtId="0" fontId="2" fillId="0" borderId="3" xfId="0" applyFont="1" applyBorder="1" applyAlignment="1">
      <alignment vertical="center"/>
    </xf>
    <xf numFmtId="168" fontId="2" fillId="0" borderId="3" xfId="0" applyNumberFormat="1" applyFont="1" applyBorder="1" applyAlignment="1">
      <alignment vertical="center"/>
    </xf>
    <xf numFmtId="0" fontId="23" fillId="0" borderId="0" xfId="0" applyFont="1" applyAlignment="1">
      <alignment vertical="center"/>
    </xf>
    <xf numFmtId="0" fontId="11" fillId="7" borderId="3" xfId="0" quotePrefix="1" applyFont="1" applyFill="1" applyBorder="1" applyAlignment="1">
      <alignment vertical="center" wrapText="1"/>
    </xf>
    <xf numFmtId="0" fontId="11" fillId="12" borderId="0" xfId="0" applyFont="1" applyFill="1" applyAlignment="1">
      <alignment vertical="center" wrapText="1"/>
    </xf>
    <xf numFmtId="0" fontId="3" fillId="13" borderId="4" xfId="0" applyFont="1" applyFill="1" applyBorder="1" applyAlignment="1">
      <alignment vertical="center" wrapText="1"/>
    </xf>
    <xf numFmtId="0" fontId="11" fillId="7" borderId="10" xfId="0" quotePrefix="1" applyFont="1" applyFill="1" applyBorder="1" applyAlignment="1">
      <alignment vertical="center" wrapText="1"/>
    </xf>
    <xf numFmtId="0" fontId="25" fillId="10" borderId="0" xfId="0" applyFont="1" applyFill="1" applyAlignment="1">
      <alignment vertical="center" wrapText="1"/>
    </xf>
    <xf numFmtId="0" fontId="26" fillId="16" borderId="0" xfId="0" applyFont="1" applyFill="1" applyAlignment="1">
      <alignment vertical="center" wrapText="1"/>
    </xf>
    <xf numFmtId="0" fontId="24" fillId="10" borderId="0" xfId="0" applyFont="1" applyFill="1" applyAlignment="1">
      <alignment vertical="center" wrapText="1"/>
    </xf>
    <xf numFmtId="0" fontId="11" fillId="2" borderId="10" xfId="0" quotePrefix="1" applyFont="1" applyFill="1" applyBorder="1" applyAlignment="1">
      <alignment vertical="center" wrapText="1"/>
    </xf>
    <xf numFmtId="0" fontId="11" fillId="2" borderId="3" xfId="0" quotePrefix="1" applyFont="1" applyFill="1" applyBorder="1" applyAlignment="1">
      <alignment vertical="center" wrapText="1"/>
    </xf>
    <xf numFmtId="0" fontId="24" fillId="0" borderId="0" xfId="0" applyFont="1" applyAlignment="1">
      <alignment vertical="center" wrapText="1"/>
    </xf>
    <xf numFmtId="0" fontId="3" fillId="13" borderId="23" xfId="0" applyFont="1" applyFill="1" applyBorder="1" applyAlignment="1">
      <alignment vertical="center" wrapText="1"/>
    </xf>
    <xf numFmtId="0" fontId="3" fillId="13" borderId="26" xfId="0" applyFont="1" applyFill="1" applyBorder="1" applyAlignment="1">
      <alignment vertical="center" wrapText="1"/>
    </xf>
    <xf numFmtId="0" fontId="3" fillId="13" borderId="27" xfId="0" applyFont="1" applyFill="1" applyBorder="1" applyAlignment="1">
      <alignment vertical="center" wrapText="1"/>
    </xf>
    <xf numFmtId="0" fontId="0" fillId="12" borderId="0" xfId="0" applyFill="1" applyAlignment="1">
      <alignment vertical="center"/>
    </xf>
    <xf numFmtId="0" fontId="11" fillId="7" borderId="9" xfId="0" applyFont="1" applyFill="1" applyBorder="1"/>
    <xf numFmtId="0" fontId="11" fillId="7" borderId="3" xfId="0" applyFont="1" applyFill="1" applyBorder="1"/>
    <xf numFmtId="0" fontId="27" fillId="0" borderId="0" xfId="0" applyFont="1" applyAlignment="1">
      <alignment vertical="center" wrapText="1"/>
    </xf>
    <xf numFmtId="0" fontId="0" fillId="0" borderId="28" xfId="0" applyBorder="1"/>
    <xf numFmtId="0" fontId="0" fillId="0" borderId="29" xfId="0" applyBorder="1"/>
    <xf numFmtId="0" fontId="1" fillId="13" borderId="4" xfId="0" applyFont="1" applyFill="1" applyBorder="1" applyAlignment="1">
      <alignment vertical="center" wrapText="1"/>
    </xf>
    <xf numFmtId="0" fontId="21" fillId="0" borderId="9" xfId="0" applyFont="1" applyBorder="1" applyAlignment="1">
      <alignment vertical="center" wrapText="1"/>
    </xf>
    <xf numFmtId="0" fontId="21" fillId="0" borderId="5" xfId="0" applyFont="1" applyBorder="1" applyAlignment="1">
      <alignment vertical="center" wrapText="1"/>
    </xf>
    <xf numFmtId="0" fontId="20" fillId="0" borderId="5" xfId="0" applyFont="1" applyBorder="1" applyAlignment="1">
      <alignment vertical="center" wrapText="1"/>
    </xf>
    <xf numFmtId="0" fontId="21" fillId="0" borderId="16" xfId="0" applyFont="1" applyBorder="1" applyAlignment="1">
      <alignment vertical="center" wrapText="1"/>
    </xf>
    <xf numFmtId="0" fontId="21" fillId="0" borderId="15" xfId="0" applyFont="1" applyBorder="1" applyAlignment="1">
      <alignment vertical="center" wrapText="1"/>
    </xf>
    <xf numFmtId="0" fontId="11" fillId="0" borderId="0" xfId="0" applyFont="1" applyAlignment="1">
      <alignment horizontal="center" vertical="center" wrapText="1"/>
    </xf>
    <xf numFmtId="0" fontId="11" fillId="12" borderId="9" xfId="0" applyFont="1" applyFill="1" applyBorder="1"/>
    <xf numFmtId="10" fontId="11" fillId="12" borderId="0" xfId="0" applyNumberFormat="1" applyFont="1" applyFill="1" applyAlignment="1">
      <alignment vertical="center" wrapText="1"/>
    </xf>
    <xf numFmtId="9" fontId="11" fillId="12" borderId="0" xfId="0" applyNumberFormat="1" applyFont="1" applyFill="1" applyAlignment="1">
      <alignment vertical="center" wrapText="1"/>
    </xf>
    <xf numFmtId="1" fontId="11" fillId="12" borderId="0" xfId="0" applyNumberFormat="1" applyFont="1" applyFill="1" applyAlignment="1">
      <alignment vertical="center" wrapText="1"/>
    </xf>
    <xf numFmtId="0" fontId="0" fillId="0" borderId="24" xfId="0" applyBorder="1"/>
    <xf numFmtId="0" fontId="11" fillId="12" borderId="19" xfId="0" applyFont="1" applyFill="1" applyBorder="1" applyAlignment="1">
      <alignment vertical="center" wrapText="1"/>
    </xf>
    <xf numFmtId="0" fontId="11" fillId="12" borderId="3" xfId="0" applyFont="1" applyFill="1" applyBorder="1" applyAlignment="1">
      <alignment vertical="center" wrapText="1"/>
    </xf>
    <xf numFmtId="1" fontId="0" fillId="12" borderId="0" xfId="0" applyNumberFormat="1" applyFill="1" applyAlignment="1">
      <alignment vertical="center"/>
    </xf>
    <xf numFmtId="0" fontId="0" fillId="13" borderId="0" xfId="0" applyFill="1"/>
    <xf numFmtId="0" fontId="3" fillId="13" borderId="10" xfId="0" applyFont="1" applyFill="1" applyBorder="1"/>
    <xf numFmtId="1" fontId="0" fillId="0" borderId="10" xfId="0" applyNumberFormat="1" applyBorder="1"/>
    <xf numFmtId="0" fontId="0" fillId="0" borderId="30" xfId="0" applyBorder="1"/>
    <xf numFmtId="0" fontId="2" fillId="0" borderId="28" xfId="0" applyFont="1" applyBorder="1"/>
    <xf numFmtId="167" fontId="1" fillId="13" borderId="10" xfId="2" applyNumberFormat="1" applyFont="1" applyFill="1" applyBorder="1" applyAlignment="1">
      <alignment vertical="center" wrapText="1"/>
    </xf>
    <xf numFmtId="0" fontId="15" fillId="0" borderId="9" xfId="0" applyFont="1" applyBorder="1" applyAlignment="1">
      <alignment vertical="center" wrapText="1"/>
    </xf>
    <xf numFmtId="0" fontId="14" fillId="17" borderId="6" xfId="0" applyFont="1" applyFill="1" applyBorder="1" applyAlignment="1">
      <alignment horizontal="center"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25" fillId="10" borderId="0" xfId="0" applyFont="1" applyFill="1" applyAlignment="1">
      <alignment vertical="center"/>
    </xf>
    <xf numFmtId="0" fontId="29" fillId="2" borderId="0" xfId="0" applyFont="1" applyFill="1" applyAlignment="1">
      <alignment wrapText="1"/>
    </xf>
    <xf numFmtId="0" fontId="29" fillId="9" borderId="0" xfId="0" applyFont="1" applyFill="1" applyAlignment="1">
      <alignment horizontal="center" vertical="center" wrapText="1"/>
    </xf>
    <xf numFmtId="0" fontId="29" fillId="9" borderId="0" xfId="0" applyFont="1" applyFill="1" applyAlignment="1">
      <alignment horizontal="left" vertical="center" wrapText="1"/>
    </xf>
    <xf numFmtId="1" fontId="11" fillId="2" borderId="13" xfId="0" applyNumberFormat="1" applyFont="1" applyFill="1" applyBorder="1"/>
    <xf numFmtId="0" fontId="30" fillId="0" borderId="0" xfId="0" applyFont="1"/>
    <xf numFmtId="0" fontId="30" fillId="0" borderId="0" xfId="0" applyFont="1" applyAlignment="1">
      <alignment vertical="center" wrapText="1"/>
    </xf>
    <xf numFmtId="0" fontId="19" fillId="17" borderId="6" xfId="0" applyFont="1" applyFill="1" applyBorder="1" applyAlignment="1">
      <alignment horizontal="left" vertical="center" wrapText="1"/>
    </xf>
    <xf numFmtId="0" fontId="19" fillId="17" borderId="10" xfId="0" applyFont="1" applyFill="1" applyBorder="1" applyAlignment="1">
      <alignment horizontal="left" vertical="center" wrapText="1"/>
    </xf>
    <xf numFmtId="0" fontId="21" fillId="0" borderId="3" xfId="0" applyFont="1" applyBorder="1" applyAlignment="1">
      <alignment vertical="center" wrapText="1"/>
    </xf>
    <xf numFmtId="0" fontId="21" fillId="0" borderId="5" xfId="0" quotePrefix="1" applyFont="1" applyBorder="1" applyAlignment="1">
      <alignment vertical="center" wrapText="1"/>
    </xf>
    <xf numFmtId="0" fontId="20" fillId="0" borderId="3" xfId="0" applyFont="1" applyBorder="1" applyAlignment="1">
      <alignment vertical="center" wrapText="1"/>
    </xf>
    <xf numFmtId="0" fontId="21" fillId="0" borderId="8" xfId="0" applyFont="1" applyBorder="1" applyAlignment="1">
      <alignment vertical="center" wrapText="1"/>
    </xf>
    <xf numFmtId="166" fontId="11" fillId="12" borderId="10" xfId="0" applyNumberFormat="1" applyFont="1" applyFill="1" applyBorder="1"/>
    <xf numFmtId="0" fontId="27" fillId="0" borderId="10" xfId="0" applyFont="1" applyBorder="1" applyAlignment="1">
      <alignment vertical="center" wrapText="1"/>
    </xf>
    <xf numFmtId="1" fontId="11" fillId="12" borderId="10" xfId="0" applyNumberFormat="1" applyFont="1" applyFill="1" applyBorder="1" applyAlignment="1">
      <alignment vertical="center" wrapText="1"/>
    </xf>
    <xf numFmtId="0" fontId="11" fillId="0" borderId="10" xfId="0" applyFont="1" applyBorder="1" applyAlignment="1">
      <alignment vertical="center" wrapText="1"/>
    </xf>
    <xf numFmtId="0" fontId="11" fillId="12" borderId="24" xfId="0" applyFont="1" applyFill="1" applyBorder="1" applyAlignment="1">
      <alignment vertical="center" wrapText="1"/>
    </xf>
    <xf numFmtId="1" fontId="0" fillId="12" borderId="10" xfId="0" applyNumberFormat="1" applyFill="1" applyBorder="1"/>
    <xf numFmtId="1" fontId="11" fillId="12" borderId="24" xfId="0" applyNumberFormat="1" applyFont="1" applyFill="1" applyBorder="1" applyAlignment="1">
      <alignment vertical="center" wrapText="1"/>
    </xf>
    <xf numFmtId="1" fontId="0" fillId="12" borderId="10" xfId="0" applyNumberFormat="1" applyFill="1" applyBorder="1" applyAlignment="1">
      <alignment vertical="center"/>
    </xf>
    <xf numFmtId="1" fontId="2" fillId="12" borderId="0" xfId="0" applyNumberFormat="1" applyFont="1" applyFill="1"/>
    <xf numFmtId="0" fontId="32" fillId="13" borderId="10" xfId="0" applyFont="1" applyFill="1" applyBorder="1"/>
    <xf numFmtId="0" fontId="0" fillId="7" borderId="10" xfId="0" applyFill="1" applyBorder="1"/>
    <xf numFmtId="0" fontId="0" fillId="2" borderId="10" xfId="0" applyFill="1" applyBorder="1"/>
    <xf numFmtId="0" fontId="0" fillId="12" borderId="10" xfId="0" applyFill="1" applyBorder="1"/>
    <xf numFmtId="0" fontId="31" fillId="20" borderId="10" xfId="0" applyFont="1" applyFill="1" applyBorder="1"/>
    <xf numFmtId="0" fontId="31" fillId="20" borderId="10" xfId="0" applyFont="1" applyFill="1" applyBorder="1" applyAlignment="1">
      <alignment vertical="center"/>
    </xf>
    <xf numFmtId="0" fontId="31" fillId="20" borderId="10" xfId="0" applyFont="1" applyFill="1" applyBorder="1" applyAlignment="1">
      <alignment vertical="center" wrapText="1"/>
    </xf>
    <xf numFmtId="0" fontId="11" fillId="12" borderId="10" xfId="0" quotePrefix="1" applyFont="1" applyFill="1" applyBorder="1" applyAlignment="1">
      <alignment vertical="center" wrapText="1"/>
    </xf>
    <xf numFmtId="0" fontId="11" fillId="12" borderId="3" xfId="0" quotePrefix="1" applyFont="1" applyFill="1" applyBorder="1" applyAlignment="1">
      <alignment vertical="center" wrapText="1"/>
    </xf>
    <xf numFmtId="0" fontId="11" fillId="12" borderId="18" xfId="0" applyFont="1" applyFill="1" applyBorder="1"/>
    <xf numFmtId="0" fontId="5" fillId="21" borderId="10" xfId="0" applyFont="1" applyFill="1" applyBorder="1"/>
    <xf numFmtId="0" fontId="0" fillId="0" borderId="10" xfId="0" applyBorder="1"/>
    <xf numFmtId="0" fontId="0" fillId="10" borderId="10" xfId="0" applyFill="1" applyBorder="1"/>
    <xf numFmtId="0" fontId="0" fillId="16" borderId="10" xfId="0" applyFill="1" applyBorder="1"/>
    <xf numFmtId="0" fontId="0" fillId="18" borderId="10" xfId="0" applyFill="1" applyBorder="1"/>
    <xf numFmtId="0" fontId="5" fillId="13" borderId="10" xfId="0" applyFont="1" applyFill="1" applyBorder="1"/>
    <xf numFmtId="0" fontId="0" fillId="19" borderId="10" xfId="0" applyFill="1" applyBorder="1"/>
    <xf numFmtId="0" fontId="0" fillId="0" borderId="10" xfId="0" applyBorder="1" applyAlignment="1">
      <alignment vertical="center"/>
    </xf>
    <xf numFmtId="0" fontId="3" fillId="22" borderId="10" xfId="0" applyFont="1" applyFill="1" applyBorder="1"/>
    <xf numFmtId="0" fontId="3" fillId="22" borderId="10" xfId="0" applyFont="1" applyFill="1" applyBorder="1" applyAlignment="1">
      <alignment horizontal="center" vertical="center"/>
    </xf>
    <xf numFmtId="0" fontId="33" fillId="0" borderId="0" xfId="0" applyFont="1"/>
    <xf numFmtId="1" fontId="0" fillId="0" borderId="9" xfId="0" applyNumberFormat="1" applyBorder="1" applyAlignment="1">
      <alignment horizontal="center" wrapText="1"/>
    </xf>
    <xf numFmtId="0" fontId="0" fillId="0" borderId="9" xfId="0" applyBorder="1" applyAlignment="1">
      <alignment horizontal="center" wrapText="1"/>
    </xf>
    <xf numFmtId="165" fontId="0" fillId="0" borderId="9" xfId="0" applyNumberFormat="1" applyBorder="1" applyAlignment="1">
      <alignment horizontal="center" wrapText="1"/>
    </xf>
    <xf numFmtId="0" fontId="0" fillId="0" borderId="16" xfId="0" applyBorder="1" applyAlignment="1">
      <alignment horizontal="center" wrapText="1"/>
    </xf>
    <xf numFmtId="0" fontId="34" fillId="2" borderId="13" xfId="0" applyFont="1" applyFill="1" applyBorder="1"/>
    <xf numFmtId="0" fontId="0" fillId="0" borderId="5" xfId="0" applyBorder="1" applyAlignment="1">
      <alignment wrapText="1"/>
    </xf>
    <xf numFmtId="10" fontId="0" fillId="0" borderId="5" xfId="0" applyNumberFormat="1" applyBorder="1" applyAlignment="1">
      <alignment wrapText="1"/>
    </xf>
    <xf numFmtId="10" fontId="0" fillId="0" borderId="15" xfId="0" applyNumberFormat="1" applyBorder="1" applyAlignment="1">
      <alignment wrapText="1"/>
    </xf>
    <xf numFmtId="1" fontId="0" fillId="0" borderId="0" xfId="0" applyNumberFormat="1" applyAlignment="1">
      <alignment vertical="center" wrapText="1"/>
    </xf>
    <xf numFmtId="1" fontId="0" fillId="0" borderId="15" xfId="3" applyNumberFormat="1" applyFont="1" applyBorder="1" applyAlignment="1">
      <alignment vertical="center" wrapText="1"/>
    </xf>
    <xf numFmtId="168" fontId="0" fillId="0" borderId="15" xfId="3" applyNumberFormat="1" applyFont="1" applyBorder="1" applyAlignment="1">
      <alignment horizontal="left" vertical="center" wrapText="1"/>
    </xf>
    <xf numFmtId="0" fontId="0" fillId="0" borderId="8" xfId="3" applyNumberFormat="1" applyFont="1" applyBorder="1" applyAlignment="1">
      <alignment horizontal="left" vertical="center" wrapText="1"/>
    </xf>
    <xf numFmtId="1" fontId="0" fillId="0" borderId="5" xfId="3" applyNumberFormat="1" applyFont="1" applyBorder="1" applyAlignment="1">
      <alignment vertical="center" wrapText="1"/>
    </xf>
    <xf numFmtId="168" fontId="0" fillId="0" borderId="5" xfId="3" applyNumberFormat="1" applyFont="1" applyBorder="1" applyAlignment="1">
      <alignment horizontal="left" vertical="center" wrapText="1"/>
    </xf>
    <xf numFmtId="0" fontId="0" fillId="0" borderId="3" xfId="3" applyNumberFormat="1" applyFont="1" applyBorder="1" applyAlignment="1">
      <alignment horizontal="left" vertical="center" wrapText="1"/>
    </xf>
    <xf numFmtId="0" fontId="32" fillId="5" borderId="10" xfId="0" applyFont="1" applyFill="1" applyBorder="1"/>
    <xf numFmtId="0" fontId="5" fillId="5" borderId="10" xfId="0" applyFont="1" applyFill="1" applyBorder="1"/>
    <xf numFmtId="0" fontId="11" fillId="0" borderId="0" xfId="0" quotePrefix="1" applyFont="1" applyAlignment="1">
      <alignment vertical="center" wrapText="1"/>
    </xf>
    <xf numFmtId="0" fontId="11" fillId="0" borderId="0" xfId="0" quotePrefix="1" applyFont="1" applyAlignment="1">
      <alignment horizontal="center" vertical="center" wrapText="1"/>
    </xf>
    <xf numFmtId="0" fontId="3" fillId="13" borderId="4" xfId="0" quotePrefix="1" applyFont="1" applyFill="1" applyBorder="1" applyAlignment="1">
      <alignment vertical="center" wrapText="1"/>
    </xf>
    <xf numFmtId="0" fontId="11" fillId="2" borderId="10" xfId="0" applyFont="1" applyFill="1" applyBorder="1" applyAlignment="1">
      <alignment vertical="center" wrapText="1"/>
    </xf>
    <xf numFmtId="0" fontId="1" fillId="13" borderId="16" xfId="0" applyFont="1" applyFill="1" applyBorder="1" applyAlignment="1">
      <alignment wrapText="1"/>
    </xf>
    <xf numFmtId="0" fontId="29" fillId="0" borderId="0" xfId="0" applyFont="1"/>
    <xf numFmtId="0" fontId="29" fillId="0" borderId="0" xfId="0" quotePrefix="1" applyFont="1"/>
    <xf numFmtId="0" fontId="0" fillId="0" borderId="13" xfId="0" applyBorder="1"/>
    <xf numFmtId="0" fontId="23" fillId="23" borderId="34" xfId="0" applyFont="1" applyFill="1" applyBorder="1" applyAlignment="1">
      <alignment vertical="center"/>
    </xf>
    <xf numFmtId="0" fontId="36" fillId="10" borderId="0" xfId="0" applyFont="1" applyFill="1" applyAlignment="1">
      <alignment vertical="center" wrapText="1"/>
    </xf>
    <xf numFmtId="1" fontId="0" fillId="0" borderId="0" xfId="0" applyNumberFormat="1" applyAlignment="1">
      <alignment wrapText="1"/>
    </xf>
    <xf numFmtId="0" fontId="0" fillId="0" borderId="35" xfId="0" applyBorder="1" applyAlignment="1">
      <alignment wrapText="1"/>
    </xf>
    <xf numFmtId="0" fontId="0" fillId="0" borderId="35" xfId="0" applyBorder="1"/>
    <xf numFmtId="1" fontId="0" fillId="0" borderId="36" xfId="0" applyNumberFormat="1" applyBorder="1"/>
    <xf numFmtId="0" fontId="14" fillId="17" borderId="39" xfId="0" applyFont="1" applyFill="1" applyBorder="1" applyAlignment="1">
      <alignment horizontal="center" vertical="center" wrapText="1"/>
    </xf>
    <xf numFmtId="0" fontId="0" fillId="0" borderId="40" xfId="0" applyBorder="1"/>
    <xf numFmtId="0" fontId="0" fillId="0" borderId="14" xfId="0" applyBorder="1"/>
    <xf numFmtId="1" fontId="0" fillId="0" borderId="41" xfId="0" applyNumberFormat="1" applyBorder="1"/>
    <xf numFmtId="2" fontId="0" fillId="6" borderId="0" xfId="0" applyNumberFormat="1" applyFill="1" applyAlignment="1">
      <alignment horizontal="center" vertical="center" wrapText="1"/>
    </xf>
    <xf numFmtId="2" fontId="0" fillId="0" borderId="0" xfId="0" applyNumberFormat="1" applyAlignment="1">
      <alignment horizontal="center" vertical="center" wrapText="1"/>
    </xf>
    <xf numFmtId="2" fontId="0" fillId="6" borderId="0" xfId="0" applyNumberFormat="1" applyFill="1" applyAlignment="1">
      <alignment vertical="center" wrapText="1"/>
    </xf>
    <xf numFmtId="2" fontId="0" fillId="0" borderId="0" xfId="0" applyNumberFormat="1" applyAlignment="1">
      <alignment vertical="center" wrapText="1"/>
    </xf>
    <xf numFmtId="0" fontId="4" fillId="6" borderId="0" xfId="1" applyFill="1" applyAlignment="1">
      <alignment vertical="center" wrapText="1"/>
    </xf>
    <xf numFmtId="0" fontId="0" fillId="7" borderId="10" xfId="0" applyFill="1" applyBorder="1" applyAlignment="1">
      <alignment wrapText="1"/>
    </xf>
    <xf numFmtId="0" fontId="0" fillId="2" borderId="10" xfId="0" applyFill="1" applyBorder="1" applyAlignment="1">
      <alignment wrapText="1"/>
    </xf>
    <xf numFmtId="0" fontId="0" fillId="12" borderId="10" xfId="0" applyFill="1" applyBorder="1" applyAlignment="1">
      <alignment wrapText="1"/>
    </xf>
    <xf numFmtId="0" fontId="0" fillId="24" borderId="10" xfId="0" applyFill="1" applyBorder="1" applyAlignment="1">
      <alignment wrapText="1"/>
    </xf>
    <xf numFmtId="0" fontId="32" fillId="5" borderId="10" xfId="0" applyFont="1" applyFill="1" applyBorder="1" applyAlignment="1">
      <alignment vertical="center"/>
    </xf>
    <xf numFmtId="0" fontId="32" fillId="13" borderId="10" xfId="0" applyFont="1" applyFill="1" applyBorder="1" applyAlignment="1">
      <alignment vertical="center"/>
    </xf>
    <xf numFmtId="0" fontId="0" fillId="7" borderId="10" xfId="0" applyFill="1" applyBorder="1" applyAlignment="1">
      <alignment vertical="center" wrapText="1"/>
    </xf>
    <xf numFmtId="0" fontId="0" fillId="2" borderId="10" xfId="0" applyFill="1" applyBorder="1" applyAlignment="1">
      <alignment vertical="center" wrapText="1"/>
    </xf>
    <xf numFmtId="0" fontId="0" fillId="12" borderId="10" xfId="0" applyFill="1" applyBorder="1" applyAlignment="1">
      <alignment vertical="center" wrapText="1"/>
    </xf>
    <xf numFmtId="0" fontId="38" fillId="7" borderId="10" xfId="0" quotePrefix="1" applyFont="1" applyFill="1" applyBorder="1" applyAlignment="1">
      <alignment vertical="center" wrapText="1"/>
    </xf>
    <xf numFmtId="0" fontId="38" fillId="7" borderId="0" xfId="0" quotePrefix="1" applyFont="1" applyFill="1" applyAlignment="1">
      <alignment vertical="center" wrapText="1"/>
    </xf>
    <xf numFmtId="0" fontId="38" fillId="7" borderId="9" xfId="0" applyFont="1" applyFill="1" applyBorder="1"/>
    <xf numFmtId="0" fontId="38" fillId="7" borderId="3" xfId="0" applyFont="1" applyFill="1" applyBorder="1"/>
    <xf numFmtId="0" fontId="38" fillId="7" borderId="10" xfId="0" applyFont="1" applyFill="1" applyBorder="1" applyAlignment="1">
      <alignment vertical="center" wrapText="1"/>
    </xf>
    <xf numFmtId="0" fontId="38" fillId="7" borderId="3" xfId="0" quotePrefix="1" applyFont="1" applyFill="1" applyBorder="1" applyAlignment="1">
      <alignment vertical="center" wrapText="1"/>
    </xf>
    <xf numFmtId="0" fontId="38" fillId="7" borderId="3" xfId="0" applyFont="1" applyFill="1" applyBorder="1" applyAlignment="1">
      <alignment vertical="center" wrapText="1"/>
    </xf>
    <xf numFmtId="0" fontId="38" fillId="7" borderId="13" xfId="0" applyFont="1" applyFill="1" applyBorder="1"/>
    <xf numFmtId="1" fontId="38" fillId="7" borderId="14" xfId="0" applyNumberFormat="1" applyFont="1" applyFill="1" applyBorder="1"/>
    <xf numFmtId="1" fontId="38" fillId="7" borderId="13" xfId="0" applyNumberFormat="1" applyFont="1" applyFill="1" applyBorder="1"/>
    <xf numFmtId="0" fontId="1" fillId="13" borderId="12" xfId="0" applyFont="1" applyFill="1" applyBorder="1" applyAlignment="1">
      <alignment vertical="center" wrapText="1"/>
    </xf>
    <xf numFmtId="0" fontId="38" fillId="2" borderId="13" xfId="0" applyFont="1" applyFill="1" applyBorder="1" applyAlignment="1">
      <alignment vertical="center"/>
    </xf>
    <xf numFmtId="0" fontId="38" fillId="7" borderId="13" xfId="0" applyFont="1" applyFill="1" applyBorder="1" applyAlignment="1">
      <alignment vertical="center"/>
    </xf>
    <xf numFmtId="1" fontId="38" fillId="7" borderId="13" xfId="0" applyNumberFormat="1" applyFont="1" applyFill="1" applyBorder="1" applyAlignment="1">
      <alignment vertical="center"/>
    </xf>
    <xf numFmtId="1" fontId="38" fillId="2" borderId="13" xfId="0" applyNumberFormat="1" applyFont="1" applyFill="1" applyBorder="1" applyAlignment="1">
      <alignment vertical="center"/>
    </xf>
    <xf numFmtId="2" fontId="11" fillId="12" borderId="13" xfId="0" applyNumberFormat="1" applyFont="1" applyFill="1" applyBorder="1" applyAlignment="1">
      <alignment vertical="center"/>
    </xf>
    <xf numFmtId="1" fontId="11" fillId="12" borderId="13" xfId="0" applyNumberFormat="1" applyFont="1" applyFill="1" applyBorder="1" applyAlignment="1">
      <alignment vertical="center"/>
    </xf>
    <xf numFmtId="1" fontId="0" fillId="12" borderId="13" xfId="0" applyNumberFormat="1" applyFill="1" applyBorder="1" applyAlignment="1">
      <alignment vertical="center"/>
    </xf>
    <xf numFmtId="1" fontId="0" fillId="12" borderId="14" xfId="0" applyNumberFormat="1" applyFill="1" applyBorder="1" applyAlignment="1">
      <alignment vertical="center"/>
    </xf>
    <xf numFmtId="0" fontId="28" fillId="0" borderId="0" xfId="0" applyFont="1" applyAlignment="1">
      <alignment vertical="center"/>
    </xf>
    <xf numFmtId="169" fontId="38" fillId="7" borderId="13" xfId="0" applyNumberFormat="1" applyFont="1" applyFill="1" applyBorder="1" applyAlignment="1">
      <alignment vertical="center"/>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1" fillId="3" borderId="21" xfId="0" applyFont="1" applyFill="1" applyBorder="1" applyAlignment="1">
      <alignment vertical="center" wrapText="1"/>
    </xf>
    <xf numFmtId="1" fontId="11" fillId="12" borderId="21" xfId="0" applyNumberFormat="1" applyFont="1" applyFill="1" applyBorder="1" applyAlignment="1">
      <alignment vertical="center"/>
    </xf>
    <xf numFmtId="1" fontId="11" fillId="12" borderId="18" xfId="0" applyNumberFormat="1" applyFont="1" applyFill="1" applyBorder="1" applyAlignment="1">
      <alignment vertical="center"/>
    </xf>
    <xf numFmtId="1" fontId="11" fillId="12" borderId="25" xfId="0" applyNumberFormat="1" applyFont="1" applyFill="1" applyBorder="1" applyAlignment="1">
      <alignment vertical="center"/>
    </xf>
    <xf numFmtId="1" fontId="11" fillId="12" borderId="9" xfId="0" applyNumberFormat="1" applyFont="1" applyFill="1" applyBorder="1" applyAlignment="1">
      <alignment vertical="center"/>
    </xf>
    <xf numFmtId="1" fontId="11" fillId="12" borderId="17" xfId="0" applyNumberFormat="1" applyFont="1" applyFill="1" applyBorder="1" applyAlignment="1">
      <alignment vertical="center"/>
    </xf>
    <xf numFmtId="1" fontId="11" fillId="12" borderId="16" xfId="0" applyNumberFormat="1" applyFont="1" applyFill="1" applyBorder="1" applyAlignment="1">
      <alignment vertical="center"/>
    </xf>
    <xf numFmtId="0" fontId="1" fillId="3" borderId="22" xfId="0" applyFont="1" applyFill="1" applyBorder="1" applyAlignment="1">
      <alignment vertical="center" wrapText="1"/>
    </xf>
    <xf numFmtId="0" fontId="1" fillId="3" borderId="0" xfId="0" applyFont="1" applyFill="1" applyAlignment="1">
      <alignment vertical="center" wrapText="1"/>
    </xf>
    <xf numFmtId="0" fontId="38" fillId="7" borderId="9" xfId="0" applyFont="1" applyFill="1" applyBorder="1" applyAlignment="1">
      <alignment vertical="center"/>
    </xf>
    <xf numFmtId="0" fontId="38" fillId="7" borderId="3" xfId="0" applyFont="1" applyFill="1" applyBorder="1" applyAlignment="1">
      <alignment vertical="center"/>
    </xf>
    <xf numFmtId="0" fontId="38" fillId="7" borderId="5" xfId="0" applyFont="1" applyFill="1" applyBorder="1" applyAlignment="1">
      <alignment vertical="center"/>
    </xf>
    <xf numFmtId="0" fontId="38" fillId="2" borderId="5" xfId="0" applyFont="1" applyFill="1" applyBorder="1" applyAlignment="1">
      <alignment vertical="center"/>
    </xf>
    <xf numFmtId="0" fontId="38" fillId="7" borderId="16" xfId="0" applyFont="1" applyFill="1" applyBorder="1" applyAlignment="1">
      <alignment vertical="center"/>
    </xf>
    <xf numFmtId="0" fontId="38" fillId="7" borderId="15" xfId="0" applyFont="1" applyFill="1" applyBorder="1" applyAlignment="1">
      <alignment vertical="center"/>
    </xf>
    <xf numFmtId="0" fontId="38" fillId="2" borderId="15" xfId="0" applyFont="1" applyFill="1" applyBorder="1" applyAlignment="1">
      <alignment vertical="center"/>
    </xf>
    <xf numFmtId="0" fontId="38" fillId="7" borderId="10" xfId="0" applyFont="1" applyFill="1" applyBorder="1" applyAlignment="1">
      <alignment vertical="center"/>
    </xf>
    <xf numFmtId="0" fontId="38" fillId="2" borderId="10" xfId="0" applyFont="1" applyFill="1" applyBorder="1" applyAlignment="1">
      <alignment vertical="center"/>
    </xf>
    <xf numFmtId="0" fontId="11" fillId="12" borderId="18" xfId="0" applyFont="1" applyFill="1" applyBorder="1" applyAlignment="1">
      <alignment vertical="center"/>
    </xf>
    <xf numFmtId="0" fontId="11" fillId="2" borderId="9" xfId="0" applyFont="1" applyFill="1" applyBorder="1" applyAlignment="1">
      <alignment vertical="center"/>
    </xf>
    <xf numFmtId="0" fontId="11" fillId="12" borderId="9" xfId="0" applyFont="1" applyFill="1" applyBorder="1" applyAlignment="1">
      <alignment vertical="center"/>
    </xf>
    <xf numFmtId="0" fontId="1" fillId="13" borderId="16" xfId="0" applyFont="1" applyFill="1" applyBorder="1" applyAlignment="1">
      <alignment vertical="center" wrapText="1"/>
    </xf>
    <xf numFmtId="0" fontId="30" fillId="0" borderId="0" xfId="0" applyFont="1" applyAlignment="1">
      <alignment vertical="center"/>
    </xf>
    <xf numFmtId="2" fontId="38" fillId="12" borderId="13" xfId="0" applyNumberFormat="1" applyFont="1" applyFill="1" applyBorder="1" applyAlignment="1">
      <alignment vertical="center"/>
    </xf>
    <xf numFmtId="1" fontId="38" fillId="12" borderId="13" xfId="0" applyNumberFormat="1" applyFont="1" applyFill="1" applyBorder="1" applyAlignment="1">
      <alignment vertical="center"/>
    </xf>
    <xf numFmtId="1" fontId="38" fillId="12" borderId="14" xfId="0" applyNumberFormat="1" applyFont="1" applyFill="1" applyBorder="1" applyAlignment="1">
      <alignment vertical="center"/>
    </xf>
    <xf numFmtId="0" fontId="38" fillId="0" borderId="0" xfId="0" applyFont="1" applyAlignment="1">
      <alignment vertical="center"/>
    </xf>
    <xf numFmtId="1" fontId="38" fillId="12" borderId="24" xfId="0" applyNumberFormat="1" applyFont="1" applyFill="1" applyBorder="1" applyAlignment="1">
      <alignment vertical="center" wrapText="1"/>
    </xf>
    <xf numFmtId="1" fontId="39" fillId="12" borderId="0" xfId="0" applyNumberFormat="1" applyFont="1" applyFill="1" applyAlignment="1">
      <alignment vertical="center"/>
    </xf>
    <xf numFmtId="9" fontId="38" fillId="7" borderId="3" xfId="3" applyFont="1" applyFill="1" applyBorder="1" applyAlignment="1">
      <alignment vertical="center"/>
    </xf>
    <xf numFmtId="1" fontId="38" fillId="2" borderId="3" xfId="0" applyNumberFormat="1" applyFont="1" applyFill="1" applyBorder="1"/>
    <xf numFmtId="9" fontId="38" fillId="2" borderId="5" xfId="3" applyFont="1" applyFill="1" applyBorder="1"/>
    <xf numFmtId="9" fontId="38" fillId="7" borderId="3" xfId="0" applyNumberFormat="1" applyFont="1" applyFill="1" applyBorder="1" applyAlignment="1">
      <alignment vertical="center"/>
    </xf>
    <xf numFmtId="9" fontId="38" fillId="7" borderId="11" xfId="0" applyNumberFormat="1" applyFont="1" applyFill="1" applyBorder="1" applyAlignment="1">
      <alignment vertical="center"/>
    </xf>
    <xf numFmtId="9" fontId="38" fillId="12" borderId="0" xfId="3" applyFont="1" applyFill="1" applyBorder="1"/>
    <xf numFmtId="1" fontId="38" fillId="12" borderId="0" xfId="3" applyNumberFormat="1" applyFont="1" applyFill="1" applyBorder="1"/>
    <xf numFmtId="1" fontId="38" fillId="12" borderId="0" xfId="0" applyNumberFormat="1" applyFont="1" applyFill="1" applyAlignment="1">
      <alignment vertical="center"/>
    </xf>
    <xf numFmtId="0" fontId="38" fillId="12" borderId="0" xfId="0" applyFont="1" applyFill="1" applyAlignment="1">
      <alignment vertical="center"/>
    </xf>
    <xf numFmtId="1" fontId="38" fillId="12" borderId="0" xfId="0" applyNumberFormat="1" applyFont="1" applyFill="1" applyAlignment="1">
      <alignment vertical="center" wrapText="1"/>
    </xf>
    <xf numFmtId="0" fontId="38" fillId="0" borderId="0" xfId="0" applyFont="1"/>
    <xf numFmtId="0" fontId="38" fillId="2" borderId="9" xfId="0" applyFont="1" applyFill="1" applyBorder="1"/>
    <xf numFmtId="0" fontId="38" fillId="12" borderId="9" xfId="0" applyFont="1" applyFill="1" applyBorder="1"/>
    <xf numFmtId="0" fontId="38" fillId="12" borderId="0" xfId="0" applyFont="1" applyFill="1"/>
    <xf numFmtId="1" fontId="38" fillId="12" borderId="0" xfId="0" applyNumberFormat="1" applyFont="1" applyFill="1"/>
    <xf numFmtId="0" fontId="38" fillId="24" borderId="13" xfId="0" applyFont="1" applyFill="1" applyBorder="1" applyAlignment="1">
      <alignment vertical="center"/>
    </xf>
    <xf numFmtId="1" fontId="38" fillId="24" borderId="14" xfId="0" applyNumberFormat="1" applyFont="1" applyFill="1" applyBorder="1" applyAlignment="1">
      <alignment vertical="center"/>
    </xf>
    <xf numFmtId="1" fontId="38" fillId="24" borderId="13" xfId="0" applyNumberFormat="1" applyFont="1" applyFill="1" applyBorder="1" applyAlignment="1">
      <alignment vertical="center"/>
    </xf>
    <xf numFmtId="0" fontId="38" fillId="24" borderId="3" xfId="0" applyFont="1" applyFill="1" applyBorder="1" applyAlignment="1">
      <alignment vertical="center"/>
    </xf>
    <xf numFmtId="0" fontId="38" fillId="24" borderId="8" xfId="0" applyFont="1" applyFill="1" applyBorder="1" applyAlignment="1">
      <alignment vertical="center"/>
    </xf>
    <xf numFmtId="0" fontId="38" fillId="24" borderId="9" xfId="0" applyFont="1" applyFill="1" applyBorder="1" applyAlignment="1">
      <alignment vertical="center"/>
    </xf>
    <xf numFmtId="0" fontId="38" fillId="24" borderId="16" xfId="0" applyFont="1" applyFill="1" applyBorder="1" applyAlignment="1">
      <alignment vertical="center"/>
    </xf>
    <xf numFmtId="0" fontId="38" fillId="24" borderId="10" xfId="0" applyFont="1" applyFill="1" applyBorder="1" applyAlignment="1">
      <alignment vertical="center"/>
    </xf>
    <xf numFmtId="0" fontId="14" fillId="25" borderId="6" xfId="0" applyFont="1" applyFill="1" applyBorder="1" applyAlignment="1">
      <alignment horizontal="center" vertical="center" wrapText="1"/>
    </xf>
    <xf numFmtId="0" fontId="14" fillId="26" borderId="6" xfId="0" applyFont="1" applyFill="1" applyBorder="1" applyAlignment="1">
      <alignment horizontal="center" vertical="center" wrapText="1"/>
    </xf>
    <xf numFmtId="0" fontId="14" fillId="26" borderId="18" xfId="0" applyFont="1" applyFill="1" applyBorder="1" applyAlignment="1">
      <alignment horizontal="center" vertical="center" wrapText="1"/>
    </xf>
    <xf numFmtId="0" fontId="1" fillId="27" borderId="6" xfId="0" applyFont="1" applyFill="1" applyBorder="1" applyAlignment="1">
      <alignment horizontal="center" vertical="center" wrapText="1"/>
    </xf>
    <xf numFmtId="0" fontId="1" fillId="27" borderId="7" xfId="0" applyFont="1" applyFill="1" applyBorder="1" applyAlignment="1">
      <alignment horizontal="center" vertical="center" wrapText="1"/>
    </xf>
    <xf numFmtId="10" fontId="0" fillId="0" borderId="10" xfId="3" applyNumberFormat="1" applyFont="1" applyBorder="1" applyAlignment="1">
      <alignment vertical="center" wrapText="1"/>
    </xf>
    <xf numFmtId="9" fontId="0" fillId="0" borderId="10" xfId="3" applyFont="1" applyBorder="1" applyAlignment="1">
      <alignment vertical="center" wrapText="1"/>
    </xf>
    <xf numFmtId="168" fontId="0" fillId="0" borderId="10" xfId="3" applyNumberFormat="1" applyFont="1" applyBorder="1" applyAlignment="1">
      <alignment vertical="center"/>
    </xf>
    <xf numFmtId="0" fontId="14" fillId="17" borderId="10" xfId="0" applyFont="1" applyFill="1" applyBorder="1" applyAlignment="1">
      <alignment horizontal="center" vertical="center" wrapText="1"/>
    </xf>
    <xf numFmtId="0" fontId="31" fillId="0" borderId="0" xfId="0" applyFont="1" applyAlignment="1">
      <alignment horizontal="center" vertical="top" wrapText="1"/>
    </xf>
    <xf numFmtId="0" fontId="22" fillId="12" borderId="0" xfId="0" applyFont="1" applyFill="1" applyAlignment="1">
      <alignment horizontal="center"/>
    </xf>
    <xf numFmtId="0" fontId="0" fillId="10" borderId="32" xfId="0" applyFill="1" applyBorder="1" applyAlignment="1">
      <alignment horizontal="center" vertical="center"/>
    </xf>
    <xf numFmtId="0" fontId="0" fillId="10" borderId="31" xfId="0" applyFill="1" applyBorder="1" applyAlignment="1">
      <alignment horizontal="center" vertical="center"/>
    </xf>
    <xf numFmtId="0" fontId="0" fillId="10" borderId="33" xfId="0" applyFill="1" applyBorder="1" applyAlignment="1">
      <alignment horizontal="center" vertical="center"/>
    </xf>
    <xf numFmtId="0" fontId="0" fillId="16" borderId="10" xfId="0" applyFill="1" applyBorder="1" applyAlignment="1">
      <alignment horizontal="center" vertical="center"/>
    </xf>
    <xf numFmtId="0" fontId="0" fillId="18" borderId="10" xfId="0" applyFill="1" applyBorder="1" applyAlignment="1">
      <alignment horizontal="center" vertical="center"/>
    </xf>
    <xf numFmtId="0" fontId="0" fillId="19" borderId="10" xfId="0" applyFill="1" applyBorder="1" applyAlignment="1">
      <alignment horizontal="center" vertical="center"/>
    </xf>
    <xf numFmtId="0" fontId="22" fillId="12" borderId="0" xfId="0" applyFont="1" applyFill="1" applyAlignment="1">
      <alignment horizontal="center" vertical="center"/>
    </xf>
    <xf numFmtId="0" fontId="35" fillId="0" borderId="0" xfId="0" applyFont="1" applyAlignment="1">
      <alignment horizontal="center" vertical="center"/>
    </xf>
    <xf numFmtId="0" fontId="3" fillId="13" borderId="10" xfId="0" applyFont="1" applyFill="1" applyBorder="1" applyAlignment="1">
      <alignment horizontal="left"/>
    </xf>
    <xf numFmtId="0" fontId="1" fillId="4" borderId="1" xfId="0" applyFont="1" applyFill="1" applyBorder="1" applyAlignment="1">
      <alignment horizontal="left" vertical="center"/>
    </xf>
    <xf numFmtId="0" fontId="5" fillId="4" borderId="0" xfId="0" applyFont="1" applyFill="1" applyAlignment="1">
      <alignment horizontal="left" vertical="center"/>
    </xf>
    <xf numFmtId="0" fontId="5" fillId="4" borderId="42" xfId="0" applyFont="1" applyFill="1" applyBorder="1" applyAlignment="1">
      <alignment horizontal="left" vertical="center"/>
    </xf>
    <xf numFmtId="0" fontId="0" fillId="0" borderId="0" xfId="0" applyAlignment="1">
      <alignment horizontal="center" vertical="center" wrapText="1"/>
    </xf>
    <xf numFmtId="0" fontId="1" fillId="13" borderId="0" xfId="0" applyFont="1" applyFill="1" applyAlignment="1">
      <alignment horizontal="center"/>
    </xf>
    <xf numFmtId="0" fontId="14" fillId="17" borderId="37" xfId="0" applyFont="1" applyFill="1" applyBorder="1" applyAlignment="1">
      <alignment horizontal="center" vertical="center" wrapText="1"/>
    </xf>
    <xf numFmtId="0" fontId="14" fillId="17" borderId="38" xfId="0" applyFont="1" applyFill="1" applyBorder="1" applyAlignment="1">
      <alignment horizontal="center" vertical="center" wrapText="1"/>
    </xf>
  </cellXfs>
  <cellStyles count="4">
    <cellStyle name="Lien hypertexte" xfId="1" builtinId="8"/>
    <cellStyle name="Milliers" xfId="2" builtinId="3"/>
    <cellStyle name="Normal" xfId="0" builtinId="0"/>
    <cellStyle name="Pourcentage" xfId="3" builtinId="5"/>
  </cellStyles>
  <dxfs count="693">
    <dxf>
      <numFmt numFmtId="1" formatCode="0"/>
      <border diagonalUp="0" diagonalDown="0">
        <left style="thin">
          <color rgb="FF000000"/>
        </left>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numFmt numFmtId="1" formatCode="0"/>
    </dxf>
    <dxf>
      <fill>
        <patternFill patternType="solid">
          <fgColor indexed="64"/>
          <bgColor theme="4"/>
        </patternFill>
      </fill>
    </dxf>
    <dxf>
      <numFmt numFmtId="13" formatCode="0%"/>
    </dxf>
    <dxf>
      <numFmt numFmtId="1" formatCode="0"/>
    </dxf>
    <dxf>
      <numFmt numFmtId="1" formatCode="0"/>
    </dxf>
    <dxf>
      <numFmt numFmtId="1" formatCode="0"/>
    </dxf>
    <dxf>
      <numFmt numFmtId="0" formatCode="General"/>
    </dxf>
    <dxf>
      <border outline="0">
        <bottom style="thin">
          <color theme="0" tint="-0.499984740745262"/>
        </bottom>
      </border>
    </dxf>
    <dxf>
      <font>
        <b/>
        <i val="0"/>
        <strike val="0"/>
        <condense val="0"/>
        <extend val="0"/>
        <outline val="0"/>
        <shadow val="0"/>
        <u val="none"/>
        <vertAlign val="baseline"/>
        <sz val="11"/>
        <color rgb="FFFFFFFF"/>
        <name val="Calibri"/>
        <family val="2"/>
        <scheme val="none"/>
      </font>
      <fill>
        <patternFill patternType="solid">
          <fgColor rgb="FFB24669"/>
          <bgColor theme="4"/>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numFmt numFmtId="1" formatCode="0"/>
    </dxf>
    <dxf>
      <numFmt numFmtId="1" formatCode="0"/>
    </dxf>
    <dxf>
      <font>
        <b val="0"/>
        <i val="0"/>
        <strike val="0"/>
        <condense val="0"/>
        <extend val="0"/>
        <outline val="0"/>
        <shadow val="0"/>
        <u val="none"/>
        <vertAlign val="baseline"/>
        <sz val="11"/>
        <color theme="1"/>
        <name val="Calibri"/>
        <family val="2"/>
        <scheme val="minor"/>
      </font>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border diagonalUp="0" diagonalDown="0">
        <left/>
        <right/>
        <top style="thin">
          <color theme="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1"/>
        </top>
        <bottom/>
      </border>
    </dxf>
    <dxf>
      <fill>
        <patternFill patternType="solid">
          <fgColor indexed="64"/>
          <bgColor theme="4"/>
        </patternFill>
      </fill>
    </dxf>
    <dxf>
      <numFmt numFmtId="1" formatCode="0"/>
    </dxf>
    <dxf>
      <border diagonalUp="0" diagonalDown="0">
        <left style="thin">
          <color theme="1"/>
        </left>
        <right/>
        <top style="thin">
          <color theme="1"/>
        </top>
        <bottom style="thin">
          <color theme="1"/>
        </bottom>
        <vertical/>
        <horizontal/>
      </border>
    </dxf>
    <dxf>
      <fill>
        <patternFill patternType="solid">
          <fgColor indexed="64"/>
          <bgColor theme="4"/>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theme="1"/>
        <name val="Calibri"/>
        <family val="2"/>
        <scheme val="minor"/>
      </font>
      <border diagonalUp="0" diagonalDown="0">
        <left style="thin">
          <color theme="1"/>
        </left>
        <right/>
        <top style="thin">
          <color theme="1"/>
        </top>
        <bottom/>
        <vertical/>
        <horizontal/>
      </border>
    </dxf>
    <dxf>
      <numFmt numFmtId="13" formatCode="0%"/>
    </dxf>
    <dxf>
      <numFmt numFmtId="1" formatCode="0"/>
    </dxf>
    <dxf>
      <border outline="0">
        <bottom style="thin">
          <color theme="0" tint="-0.499984740745262"/>
        </bottom>
      </border>
    </dxf>
    <dxf>
      <font>
        <b/>
        <i val="0"/>
        <strike val="0"/>
        <condense val="0"/>
        <extend val="0"/>
        <outline val="0"/>
        <shadow val="0"/>
        <u val="none"/>
        <vertAlign val="baseline"/>
        <sz val="11"/>
        <color rgb="FFFFFFFF"/>
        <name val="Calibri"/>
        <family val="2"/>
        <scheme val="none"/>
      </font>
      <fill>
        <patternFill patternType="solid">
          <fgColor rgb="FFB24669"/>
          <bgColor theme="4"/>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numFmt numFmtId="168" formatCode="0.0%"/>
      <alignment horizontal="left" vertical="center" textRotation="0" wrapText="1" indent="0" justifyLastLine="0" shrinkToFit="0" readingOrder="0"/>
      <border diagonalUp="0" diagonalDown="0">
        <left style="thin">
          <color theme="0" tint="-0.499984740745262"/>
        </left>
        <right/>
        <top style="thin">
          <color theme="0" tint="-0.499984740745262"/>
        </top>
        <bottom/>
        <vertical/>
        <horizontal/>
      </border>
    </dxf>
    <dxf>
      <numFmt numFmtId="1" formatCode="0"/>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 formatCode="0"/>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68" formatCode="0.0%"/>
      <alignment horizontal="left" vertical="center" textRotation="0" wrapText="1" indent="0" justifyLastLine="0" shrinkToFit="0" readingOrder="0"/>
      <border diagonalUp="0" diagonalDown="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 formatCode="0"/>
      <alignment horizontal="general" vertical="center" textRotation="0" wrapText="1" indent="0" justifyLastLine="0" shrinkToFit="0" readingOrder="0"/>
      <border diagonalUp="0" diagonalDown="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68" formatCode="0.0%"/>
      <alignment horizontal="left" vertical="center" textRotation="0" wrapText="1" indent="0" justifyLastLine="0" shrinkToFit="0" readingOrder="0"/>
      <border diagonalUp="0" diagonalDown="0" outline="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 formatCode="0"/>
      <alignment horizontal="general" vertical="center" textRotation="0" wrapText="1" indent="0" justifyLastLine="0" shrinkToFit="0" readingOrder="0"/>
      <border diagonalUp="0" diagonalDown="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68" formatCode="0.0%"/>
      <alignment horizontal="left" vertical="center" textRotation="0" wrapText="1" indent="0" justifyLastLine="0" shrinkToFit="0" readingOrder="0"/>
      <border diagonalUp="0" diagonalDown="0" outline="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 formatCode="0"/>
      <alignment horizontal="general" vertical="center" textRotation="0" wrapText="1" indent="0" justifyLastLine="0" shrinkToFit="0" readingOrder="0"/>
      <border diagonalUp="0" diagonalDown="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68" formatCode="0.0%"/>
      <alignment horizontal="left" vertical="center" textRotation="0" wrapText="1" indent="0" justifyLastLine="0" shrinkToFit="0" readingOrder="0"/>
      <border diagonalUp="0" diagonalDown="0" outline="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 formatCode="0"/>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68" formatCode="0.0%"/>
      <alignment horizontal="left" vertical="center" textRotation="0" wrapText="1" indent="0" justifyLastLine="0" shrinkToFit="0" readingOrder="0"/>
      <border diagonalUp="0" diagonalDown="0" outline="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 formatCode="0"/>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border>
    </dxf>
    <dxf>
      <font>
        <b val="0"/>
        <i val="0"/>
        <strike val="0"/>
        <condense val="0"/>
        <extend val="0"/>
        <outline val="0"/>
        <shadow val="0"/>
        <u val="none"/>
        <vertAlign val="baseline"/>
        <sz val="11"/>
        <color theme="1"/>
        <name val="Calibri"/>
        <family val="2"/>
        <scheme val="minor"/>
      </font>
      <numFmt numFmtId="168" formatCode="0.0%"/>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1"/>
        <name val="Calibri"/>
        <family val="2"/>
        <scheme val="minor"/>
      </font>
      <numFmt numFmtId="167" formatCode="_-* #,##0_-;\-* #,##0_-;_-* &quot;-&quot;??_-;_-@_-"/>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bottom style="thin">
          <color theme="0" tint="-0.499984740745262"/>
        </bottom>
      </border>
    </dxf>
    <dxf>
      <border outline="0">
        <left style="thin">
          <color theme="0" tint="-0.499984740745262"/>
        </left>
        <top style="thin">
          <color theme="0" tint="-0.499984740745262"/>
        </top>
        <bottom style="thin">
          <color theme="0" tint="-0.499984740745262"/>
        </bottom>
      </border>
    </dxf>
    <dxf>
      <alignment vertical="center" textRotation="0" indent="0" justifyLastLine="0" shrinkToFit="0" readingOrder="0"/>
    </dxf>
    <dxf>
      <font>
        <b/>
        <i val="0"/>
        <strike val="0"/>
        <condense val="0"/>
        <extend val="0"/>
        <outline val="0"/>
        <shadow val="0"/>
        <u val="none"/>
        <vertAlign val="baseline"/>
        <sz val="11"/>
        <color rgb="FFFFFFFF"/>
        <name val="Calibri"/>
        <family val="2"/>
        <scheme val="none"/>
      </font>
      <fill>
        <patternFill patternType="solid">
          <fgColor rgb="FFB24669"/>
          <bgColor theme="4"/>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ill>
        <patternFill>
          <bgColor theme="7" tint="0.79998168889431442"/>
        </patternFill>
      </fill>
    </dxf>
    <dxf>
      <fill>
        <patternFill>
          <bgColor theme="7" tint="0.79998168889431442"/>
        </patternFill>
      </fill>
    </dxf>
    <dxf>
      <fill>
        <patternFill>
          <bgColor theme="7" tint="0.79998168889431442"/>
        </patternFill>
      </fill>
    </dxf>
    <dxf>
      <numFmt numFmtId="14" formatCode="0.00%"/>
      <fill>
        <patternFill patternType="none">
          <fgColor indexed="64"/>
          <bgColor auto="1"/>
        </patternFill>
      </fill>
      <alignment horizontal="general" vertical="bottom"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alignment horizontal="center" vertical="bottom"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color rgb="FF006100"/>
      </font>
      <fill>
        <patternFill>
          <bgColor rgb="FFC6EFCE"/>
        </patternFill>
      </fill>
    </dxf>
    <dxf>
      <font>
        <color rgb="FF9C0006"/>
      </font>
      <fill>
        <patternFill>
          <bgColor rgb="FFFFC7CE"/>
        </patternFill>
      </fill>
    </dxf>
    <dxf>
      <fill>
        <patternFill>
          <fgColor indexed="64"/>
          <bgColor rgb="FFFFFF00"/>
        </patternFill>
      </fill>
    </dxf>
    <dxf>
      <border outline="0">
        <top style="thin">
          <color indexed="64"/>
        </top>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fill>
        <patternFill>
          <fgColor indexed="64"/>
          <bgColor rgb="FFFFFF00"/>
        </patternFill>
      </fill>
    </dxf>
    <dxf>
      <border outline="0">
        <top style="thin">
          <color indexed="64"/>
        </top>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fill>
        <patternFill patternType="solid">
          <fgColor indexed="64"/>
          <bgColor rgb="FFC3BBEB"/>
        </patternFill>
      </fill>
      <alignment horizontal="general" vertical="center" textRotation="0" wrapText="0" indent="0" justifyLastLine="0" shrinkToFit="0" readingOrder="0"/>
    </dxf>
    <dxf>
      <fill>
        <patternFill patternType="solid">
          <fgColor indexed="64"/>
          <bgColor rgb="FFC3BBEB"/>
        </patternFill>
      </fill>
      <alignment horizontal="general" vertical="center" textRotation="0" wrapText="0" indent="0" justifyLastLine="0" shrinkToFit="0" readingOrder="0"/>
    </dxf>
    <dxf>
      <fill>
        <patternFill patternType="solid">
          <fgColor indexed="64"/>
          <bgColor rgb="FFC3BBEB"/>
        </patternFill>
      </fill>
      <alignment horizontal="center" vertical="center" textRotation="0" wrapText="0" indent="0" justifyLastLine="0" shrinkToFit="0" readingOrder="0"/>
    </dxf>
    <dxf>
      <fill>
        <patternFill patternType="solid">
          <fgColor indexed="64"/>
          <bgColor rgb="FFC3BBEB"/>
        </patternFill>
      </fill>
      <alignment horizontal="center" vertical="center" textRotation="0" wrapText="0" indent="0" justifyLastLine="0" shrinkToFit="0" readingOrder="0"/>
    </dxf>
    <dxf>
      <fill>
        <patternFill patternType="solid">
          <fgColor indexed="64"/>
          <bgColor rgb="FFC3BBEB"/>
        </patternFill>
      </fill>
      <alignment horizontal="center" vertical="center" textRotation="0" wrapText="0" indent="0" justifyLastLine="0" shrinkToFit="0" readingOrder="0"/>
    </dxf>
    <dxf>
      <fill>
        <patternFill patternType="solid">
          <fgColor indexed="64"/>
          <bgColor rgb="FFC3BBEB"/>
        </patternFill>
      </fill>
      <alignment horizontal="general" vertical="center" textRotation="0" wrapText="1" indent="0" justifyLastLine="0" shrinkToFit="0" readingOrder="0"/>
    </dxf>
    <dxf>
      <fill>
        <patternFill patternType="solid">
          <fgColor indexed="64"/>
          <bgColor theme="7" tint="0.79998168889431442"/>
        </patternFill>
      </fill>
      <alignment horizontal="general" vertical="center" textRotation="0" wrapText="0" indent="0" justifyLastLine="0" shrinkToFit="0" readingOrder="0"/>
    </dxf>
    <dxf>
      <fill>
        <patternFill patternType="solid">
          <fgColor indexed="64"/>
          <bgColor rgb="FFC3BBEB"/>
        </patternFill>
      </fill>
      <alignment horizontal="general" vertical="center" textRotation="0" wrapText="1" indent="0" justifyLastLine="0" shrinkToFit="0" readingOrder="0"/>
    </dxf>
    <dxf>
      <fill>
        <patternFill patternType="solid">
          <fgColor indexed="64"/>
          <bgColor rgb="FFC3BBEB"/>
        </patternFill>
      </fill>
      <alignment horizontal="general" vertical="center"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general" vertical="center" textRotation="0" wrapText="1" indent="0" justifyLastLine="0" shrinkToFit="0" readingOrder="0"/>
    </dxf>
    <dxf>
      <font>
        <strike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fill>
        <patternFill patternType="solid">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outline="0">
        <bottom style="thin">
          <color rgb="FF307D00"/>
        </bottom>
      </border>
    </dxf>
    <dxf>
      <font>
        <strike val="0"/>
        <outline val="0"/>
        <shadow val="0"/>
        <u val="none"/>
        <vertAlign val="baseline"/>
        <sz val="9"/>
        <color auto="1"/>
        <name val="Calibri"/>
        <family val="2"/>
        <scheme val="minor"/>
      </font>
    </dxf>
    <dxf>
      <font>
        <b/>
        <i val="0"/>
        <strike val="0"/>
        <condense val="0"/>
        <extend val="0"/>
        <outline val="0"/>
        <shadow val="0"/>
        <u val="none"/>
        <vertAlign val="baseline"/>
        <sz val="11"/>
        <color rgb="FFFFFFFF"/>
        <name val="Calibri"/>
        <family val="2"/>
        <scheme val="minor"/>
      </font>
      <fill>
        <patternFill patternType="solid">
          <fgColor rgb="FF5B9BD5"/>
          <bgColor rgb="FF5B9BD5"/>
        </patternFill>
      </fill>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tint="-0.249977111117893"/>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tint="-0.249977111117893"/>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1"/>
        </left>
        <right/>
        <top/>
        <bottom/>
      </border>
    </dxf>
    <dxf>
      <border outline="0">
        <top style="thin">
          <color theme="1"/>
        </top>
        <bottom style="thin">
          <color theme="1"/>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theme="5"/>
        <name val="Calibri"/>
        <family val="2"/>
        <scheme val="minor"/>
      </font>
      <numFmt numFmtId="1" formatCode="0"/>
      <fill>
        <patternFill patternType="solid">
          <fgColor indexed="64"/>
          <bgColor theme="2"/>
        </patternFill>
      </fill>
    </dxf>
    <dxf>
      <font>
        <b val="0"/>
        <i val="0"/>
        <strike val="0"/>
        <condense val="0"/>
        <extend val="0"/>
        <outline val="0"/>
        <shadow val="0"/>
        <u val="none"/>
        <vertAlign val="baseline"/>
        <sz val="11"/>
        <color theme="5"/>
        <name val="Calibri"/>
        <family val="2"/>
        <scheme val="minor"/>
      </font>
      <numFmt numFmtId="0" formatCode="General"/>
      <fill>
        <patternFill patternType="solid">
          <fgColor indexed="64"/>
          <bgColor theme="2"/>
        </patternFill>
      </fill>
    </dxf>
    <dxf>
      <font>
        <b val="0"/>
        <i val="0"/>
        <strike val="0"/>
        <condense val="0"/>
        <extend val="0"/>
        <outline val="0"/>
        <shadow val="0"/>
        <u val="none"/>
        <vertAlign val="baseline"/>
        <sz val="11"/>
        <color theme="5"/>
        <name val="Calibri"/>
        <family val="2"/>
        <scheme val="minor"/>
      </font>
      <fill>
        <patternFill patternType="solid">
          <fgColor indexed="64"/>
          <bgColor theme="2"/>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0"/>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outline="0">
        <left/>
        <right/>
        <top style="thin">
          <color theme="0" tint="-0.499984740745262"/>
        </top>
        <bottom style="thin">
          <color theme="0" tint="-0.499984740745262"/>
        </bottom>
      </border>
    </dxf>
    <dxf>
      <border outline="0">
        <top style="thin">
          <color rgb="FF808080"/>
        </top>
      </border>
    </dxf>
    <dxf>
      <border outline="0">
        <bottom style="thin">
          <color rgb="FF808080"/>
        </bottom>
      </border>
    </dxf>
    <dxf>
      <border outline="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i val="0"/>
        <strike val="0"/>
        <condense val="0"/>
        <extend val="0"/>
        <outline val="0"/>
        <shadow val="0"/>
        <u val="none"/>
        <vertAlign val="baseline"/>
        <sz val="11"/>
        <color theme="1"/>
        <name val="Calibri"/>
        <family val="2"/>
        <scheme val="minor"/>
      </font>
      <border diagonalUp="0" diagonalDown="0" outline="0">
        <left style="thin">
          <color theme="1"/>
        </left>
        <right/>
        <top style="thin">
          <color theme="1"/>
        </top>
        <bottom/>
      </border>
    </dxf>
    <dxf>
      <border outline="0">
        <top style="thin">
          <color theme="1"/>
        </top>
        <bottom style="thin">
          <color theme="1"/>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5"/>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3" formatCode="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rder>
    </dxf>
    <dxf>
      <font>
        <strike val="0"/>
        <outline val="0"/>
        <shadow val="0"/>
        <u val="none"/>
        <vertAlign val="baseline"/>
        <sz val="11"/>
        <color theme="5"/>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5"/>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3" formatCode="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rder>
    </dxf>
    <dxf>
      <font>
        <strike val="0"/>
        <outline val="0"/>
        <shadow val="0"/>
        <u val="none"/>
        <vertAlign val="baseline"/>
        <sz val="11"/>
        <color theme="5"/>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1"/>
        </left>
        <right/>
        <top style="thin">
          <color theme="1"/>
        </top>
        <bottom/>
      </border>
    </dxf>
    <dxf>
      <border outline="0">
        <top style="thin">
          <color theme="1"/>
        </top>
        <bottom style="thin">
          <color theme="1"/>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theme="5"/>
        <name val="Calibri"/>
        <family val="2"/>
        <scheme val="minor"/>
      </font>
      <numFmt numFmtId="1" formatCode="0"/>
      <fill>
        <patternFill>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5"/>
        <name val="Calibri"/>
        <family val="2"/>
        <scheme val="minor"/>
      </font>
      <numFmt numFmtId="13" formatCode="0%"/>
      <fill>
        <patternFill patternType="solid">
          <fgColor indexed="64"/>
          <bgColor theme="2"/>
        </patternFill>
      </fill>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3" formatCode="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theme="5"/>
        <name val="Calibri"/>
        <family val="2"/>
        <scheme val="minor"/>
      </font>
      <numFmt numFmtId="1" formatCode="0"/>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strike val="0"/>
        <outline val="0"/>
        <shadow val="0"/>
        <u val="none"/>
        <vertAlign val="baseline"/>
        <sz val="11"/>
        <color theme="5"/>
        <name val="Calibri"/>
        <family val="2"/>
        <scheme val="minor"/>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2"/>
        </patternFill>
      </fill>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2"/>
        </patternFill>
      </fill>
    </dxf>
    <dxf>
      <font>
        <b val="0"/>
        <i val="0"/>
        <strike val="0"/>
        <condense val="0"/>
        <extend val="0"/>
        <outline val="0"/>
        <shadow val="0"/>
        <u val="none"/>
        <vertAlign val="baseline"/>
        <sz val="11"/>
        <color theme="5"/>
        <name val="Calibri"/>
        <family val="2"/>
        <scheme val="minor"/>
      </font>
      <numFmt numFmtId="13" formatCode="0%"/>
      <fill>
        <patternFill patternType="solid">
          <fgColor indexed="64"/>
          <bgColor theme="2"/>
        </patternFill>
      </fill>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3" formatCode="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theme="5"/>
        <name val="Calibri"/>
        <family val="2"/>
        <scheme val="minor"/>
      </font>
      <numFmt numFmtId="1" formatCode="0"/>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left/>
        <right/>
        <top style="thin">
          <color theme="1"/>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left/>
        <right/>
        <top style="thin">
          <color theme="1"/>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border diagonalUp="0" diagonalDown="0" outline="0">
        <left style="thin">
          <color theme="1"/>
        </left>
        <right/>
        <top style="thin">
          <color theme="1"/>
        </top>
        <bottom/>
      </border>
    </dxf>
    <dxf>
      <border diagonalUp="0" diagonalDown="0" outline="0">
        <left style="thin">
          <color theme="1"/>
        </left>
        <right/>
        <top/>
        <bottom/>
      </border>
    </dxf>
    <dxf>
      <border outline="0">
        <top style="thin">
          <color theme="1"/>
        </top>
        <bottom style="thin">
          <color theme="1"/>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border diagonalUp="0" diagonalDown="0" outline="0">
        <left style="thin">
          <color theme="1"/>
        </left>
        <right/>
        <top/>
        <bottom/>
      </border>
    </dxf>
    <dxf>
      <border outline="0">
        <top style="thin">
          <color theme="1"/>
        </top>
        <bottom style="thin">
          <color theme="1"/>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tint="-0.249977111117893"/>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tint="-0.249977111117893"/>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theme="0" tint="-0.499984740745262"/>
        </bottom>
      </border>
    </dxf>
    <dxf>
      <border outline="0">
        <top style="thin">
          <color theme="0" tint="-0.499984740745262"/>
        </top>
        <bottom style="thin">
          <color theme="0" tint="-0.499984740745262"/>
        </bottom>
      </border>
    </dxf>
    <dxf>
      <alignment vertical="center" textRotation="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border outline="0">
        <top style="thin">
          <color theme="0" tint="-0.499984740745262"/>
        </top>
        <bottom style="thin">
          <color theme="0" tint="-0.499984740745262"/>
        </bottom>
      </border>
    </dxf>
    <dxf>
      <alignment vertical="center" textRotation="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theme="0" tint="-0.499984740745262"/>
        </bottom>
      </border>
    </dxf>
    <dxf>
      <border outline="0">
        <top style="thin">
          <color theme="0" tint="-0.499984740745262"/>
        </top>
        <bottom style="thin">
          <color theme="0" tint="-0.499984740745262"/>
        </bottom>
      </border>
    </dxf>
    <dxf>
      <alignment vertical="center" textRotation="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theme="5"/>
        <name val="Calibri"/>
        <family val="2"/>
        <scheme val="minor"/>
      </font>
      <numFmt numFmtId="1" formatCode="0"/>
      <fill>
        <patternFill patternType="solid">
          <fgColor indexed="64"/>
          <bgColor theme="2"/>
        </patternFill>
      </fill>
      <alignment vertical="center" textRotation="0" indent="0" justifyLastLine="0" shrinkToFit="0" readingOrder="0"/>
      <border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2"/>
        </patternFill>
      </fill>
      <alignment vertical="center" textRotation="0" indent="0" justifyLastLine="0" shrinkToFit="0" readingOrder="0"/>
      <border diagonalUp="0" diagonalDown="0" outline="0">
        <left style="thin">
          <color rgb="FF000000"/>
        </left>
        <right style="thin">
          <color rgb="FF000000"/>
        </right>
        <top style="thin">
          <color rgb="FF000000"/>
        </top>
        <bottom/>
      </border>
    </dxf>
    <dxf>
      <font>
        <strike val="0"/>
        <outline val="0"/>
        <shadow val="0"/>
        <u val="none"/>
        <vertAlign val="baseline"/>
        <sz val="11"/>
        <color theme="5"/>
        <name val="Calibri"/>
        <family val="2"/>
        <scheme val="minor"/>
      </font>
      <numFmt numFmtId="1" formatCode="0"/>
      <fill>
        <patternFill patternType="solid">
          <fgColor indexed="64"/>
          <bgColor theme="2"/>
        </patternFill>
      </fill>
      <alignment vertical="center" textRotation="0" indent="0" justifyLastLine="0" shrinkToFit="0" readingOrder="0"/>
      <border diagonalUp="0" diagonalDown="0" outline="0">
        <left style="thin">
          <color rgb="FF000000"/>
        </left>
        <right style="thin">
          <color rgb="FF000000"/>
        </right>
        <top style="thin">
          <color rgb="FF000000"/>
        </top>
        <bottom/>
      </border>
    </dxf>
    <dxf>
      <font>
        <strike val="0"/>
        <outline val="0"/>
        <shadow val="0"/>
        <u val="none"/>
        <vertAlign val="baseline"/>
        <sz val="11"/>
        <color theme="5"/>
        <name val="Calibri"/>
        <family val="2"/>
        <scheme val="minor"/>
      </font>
      <numFmt numFmtId="1" formatCode="0"/>
      <fill>
        <patternFill patternType="solid">
          <fgColor indexed="64"/>
          <bgColor theme="2"/>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2" formatCode="0.00"/>
      <fill>
        <patternFill patternType="solid">
          <fgColor indexed="64"/>
          <bgColor theme="2"/>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numFmt numFmtId="1" formatCode="0"/>
      <fill>
        <patternFill patternType="solid">
          <fgColor indexed="64"/>
          <bgColor theme="7" tint="0.79998168889431442"/>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fill>
        <patternFill patternType="solid">
          <fgColor indexed="64"/>
          <bgColor theme="7" tint="0.79998168889431442"/>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bottom style="thin">
          <color theme="0" tint="-0.499984740745262"/>
        </bottom>
      </border>
    </dxf>
    <dxf>
      <border outline="0">
        <left style="thin">
          <color theme="0" tint="-0.499984740745262"/>
        </left>
        <top style="thin">
          <color theme="0" tint="-0.499984740745262"/>
        </top>
      </border>
    </dxf>
    <dxf>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fill>
        <patternFill patternType="solid">
          <fgColor indexed="64"/>
          <bgColor theme="2"/>
        </patternFill>
      </fill>
      <alignment horizontal="general" vertical="center" textRotation="0" indent="0" justifyLastLine="0" shrinkToFit="0" readingOrder="0"/>
    </dxf>
    <dxf>
      <numFmt numFmtId="0" formatCode="General"/>
      <fill>
        <patternFill patternType="solid">
          <fgColor indexed="64"/>
          <bgColor theme="2"/>
        </patternFill>
      </fill>
      <alignment horizontal="general" vertical="center" textRotation="0" indent="0" justifyLastLine="0" shrinkToFit="0" readingOrder="0"/>
    </dxf>
    <dxf>
      <numFmt numFmtId="0" formatCode="General"/>
      <fill>
        <patternFill patternType="solid">
          <fgColor indexed="64"/>
          <bgColor theme="2"/>
        </patternFill>
      </fill>
      <alignment horizontal="general" vertical="center" textRotation="0" indent="0" justifyLastLine="0" shrinkToFit="0" readingOrder="0"/>
      <border outline="0">
        <left style="thin">
          <color theme="0" tint="-0.499984740745262"/>
        </left>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indent="0" justifyLastLine="0" shrinkToFit="0" readingOrder="0"/>
      <border diagonalUp="0" diagonalDown="0" outline="0">
        <left/>
        <right/>
        <top style="thin">
          <color theme="0" tint="-0.499984740745262"/>
        </top>
        <bottom style="thin">
          <color theme="0" tint="-0.499984740745262"/>
        </bottom>
      </border>
    </dxf>
    <dxf>
      <border outline="0">
        <top style="thin">
          <color rgb="FF808080"/>
        </top>
      </border>
    </dxf>
    <dxf>
      <border outline="0">
        <bottom style="thin">
          <color rgb="FF808080"/>
        </bottom>
      </border>
    </dxf>
    <dxf>
      <border outline="0">
        <left style="thin">
          <color rgb="FF808080"/>
        </left>
        <right style="thin">
          <color rgb="FF808080"/>
        </right>
        <top style="thin">
          <color rgb="FF808080"/>
        </top>
        <bottom style="thin">
          <color rgb="FF808080"/>
        </bottom>
      </border>
    </dxf>
    <dxf>
      <alignment horizontal="general" vertical="center" textRotation="0"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indexed="64"/>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alignment horizontal="general" vertical="center" textRotation="0"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indent="0" justifyLastLine="0" shrinkToFit="0" readingOrder="0"/>
      <border diagonalUp="0" diagonalDown="0" outline="0">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indent="0" justifyLastLine="0" shrinkToFit="0" readingOrder="0"/>
      <border diagonalUp="0" diagonalDown="0" outline="0">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horizontal="general" vertical="center" textRotation="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alignment horizontal="general" vertical="center" textRotation="0" indent="0" justifyLastLine="0" shrinkToFit="0" readingOrder="0"/>
    </dxf>
    <dxf>
      <alignment horizontal="general" vertical="center" textRotation="0" indent="0" justifyLastLine="0" shrinkToFit="0" readingOrder="0"/>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69" formatCode="#,##0\ &quot;€&quot;"/>
      <fill>
        <patternFill patternType="solid">
          <fgColor indexed="64"/>
          <bgColor theme="7" tint="0.79998168889431442"/>
        </patternFill>
      </fill>
      <alignment horizontal="general" vertical="center" textRotation="0" indent="0" justifyLastLine="0" shrinkToFit="0" readingOrder="0"/>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bottom style="thin">
          <color rgb="FF808080"/>
        </bottom>
      </border>
    </dxf>
    <dxf>
      <border outline="0">
        <left style="thin">
          <color rgb="FF808080"/>
        </left>
        <top style="thin">
          <color rgb="FF808080"/>
        </top>
      </border>
    </dxf>
    <dxf>
      <alignment horizontal="general"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numFmt numFmtId="1" formatCode="0"/>
      <fill>
        <patternFill patternType="solid">
          <fgColor indexed="64"/>
          <bgColor theme="2"/>
        </patternFill>
      </fill>
      <alignment horizontal="general" vertical="center" textRotation="0" indent="0" justifyLastLine="0" shrinkToFit="0" readingOrder="0"/>
      <border outline="0">
        <left style="thin">
          <color rgb="FF000000"/>
        </left>
        <right style="thin">
          <color rgb="FF000000"/>
        </right>
        <top style="thin">
          <color rgb="FF000000"/>
        </top>
        <bottom style="thin">
          <color rgb="FF000000"/>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font>
      <numFmt numFmtId="2" formatCode="0.0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indent="0" justifyLastLine="0" shrinkToFit="0" readingOrder="0"/>
      <border outline="0">
        <left style="thin">
          <color rgb="FF000000"/>
        </left>
        <right style="thin">
          <color rgb="FF000000"/>
        </right>
        <top style="thin">
          <color rgb="FF000000"/>
        </top>
        <bottom style="thin">
          <color rgb="FF000000"/>
        </bottom>
      </border>
    </dxf>
    <dxf>
      <border outline="0">
        <bottom style="thin">
          <color rgb="FF808080"/>
        </bottom>
      </border>
    </dxf>
    <dxf>
      <border outline="0">
        <left style="thin">
          <color rgb="FF808080"/>
        </left>
        <top style="thin">
          <color rgb="FF808080"/>
        </top>
      </border>
    </dxf>
    <dxf>
      <alignment horizontal="general"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numFmt numFmtId="1" formatCode="0"/>
      <fill>
        <patternFill patternType="solid">
          <fgColor indexed="64"/>
          <bgColor theme="2"/>
        </patternFill>
      </fill>
      <alignment horizontal="general" vertical="center" textRotation="0" indent="0" justifyLastLine="0" shrinkToFit="0" readingOrder="0"/>
      <border outline="0">
        <left style="thin">
          <color rgb="FF000000"/>
        </left>
        <right style="thin">
          <color rgb="FF000000"/>
        </right>
        <top style="thin">
          <color rgb="FF000000"/>
        </top>
        <bottom style="thin">
          <color rgb="FF000000"/>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1" formatCode="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color auto="1"/>
      </font>
      <numFmt numFmtId="2" formatCode="0.00"/>
      <fill>
        <patternFill patternType="solid">
          <fgColor indexed="64"/>
          <bgColor theme="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4" tint="0.79998168889431442"/>
        </patternFill>
      </fill>
      <alignment horizontal="general" vertical="center" textRotation="0" indent="0" justifyLastLine="0" shrinkToFit="0" readingOrder="0"/>
      <border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4" tint="0.79998168889431442"/>
        </patternFill>
      </fill>
      <alignment horizontal="general" vertical="center" textRotation="0" indent="0" justifyLastLine="0" shrinkToFit="0" readingOrder="0"/>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4"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0"/>
        </patternFill>
      </fill>
      <alignment horizontal="general" vertical="center" textRotation="0" indent="0" justifyLastLine="0" shrinkToFit="0" readingOrder="0"/>
      <border outline="0">
        <left style="thin">
          <color rgb="FF000000"/>
        </left>
        <right style="thin">
          <color rgb="FF000000"/>
        </right>
        <top style="thin">
          <color rgb="FF000000"/>
        </top>
        <bottom style="thin">
          <color rgb="FF000000"/>
        </bottom>
      </border>
    </dxf>
    <dxf>
      <border outline="0">
        <bottom style="thin">
          <color rgb="FF808080"/>
        </bottom>
      </border>
    </dxf>
    <dxf>
      <border outline="0">
        <left style="thin">
          <color rgb="FF808080"/>
        </left>
        <top style="thin">
          <color rgb="FF808080"/>
        </top>
      </border>
    </dxf>
    <dxf>
      <alignment horizontal="general"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fill>
        <patternFill patternType="solid">
          <fgColor indexed="64"/>
          <bgColor theme="2"/>
        </patternFill>
      </fill>
      <border outline="0">
        <left style="thin">
          <color rgb="FF000000"/>
        </left>
        <right style="thin">
          <color rgb="FF000000"/>
        </right>
        <top style="thin">
          <color rgb="FF000000"/>
        </top>
        <bottom style="thin">
          <color rgb="FF000000"/>
        </bottom>
      </border>
    </dxf>
    <dxf>
      <numFmt numFmtId="1" formatCode="0"/>
      <fill>
        <patternFill patternType="solid">
          <fgColor indexed="64"/>
          <bgColor theme="2"/>
        </patternFill>
      </fill>
      <border diagonalUp="0" diagonalDown="0">
        <left style="thin">
          <color rgb="FF000000"/>
        </left>
        <right style="thin">
          <color rgb="FF000000"/>
        </right>
        <top style="thin">
          <color rgb="FF000000"/>
        </top>
        <bottom/>
      </border>
    </dxf>
    <dxf>
      <numFmt numFmtId="1" formatCode="0"/>
      <fill>
        <patternFill patternType="solid">
          <fgColor indexed="64"/>
          <bgColor theme="2"/>
        </patternFill>
      </fill>
      <border diagonalUp="0" diagonalDown="0">
        <left style="thin">
          <color rgb="FF000000"/>
        </left>
        <right style="thin">
          <color rgb="FF000000"/>
        </right>
        <top style="thin">
          <color rgb="FF000000"/>
        </top>
        <bottom/>
      </border>
    </dxf>
    <dxf>
      <numFmt numFmtId="1" formatCode="0"/>
      <fill>
        <patternFill patternType="solid">
          <fgColor indexed="64"/>
          <bgColor theme="2"/>
        </patternFill>
      </fill>
      <border diagonalUp="0" diagonalDown="0">
        <left style="thin">
          <color rgb="FF000000"/>
        </left>
        <right style="thin">
          <color rgb="FF000000"/>
        </right>
        <top style="thin">
          <color rgb="FF000000"/>
        </top>
        <bottom style="thin">
          <color rgb="FF000000"/>
        </bottom>
        <vertical/>
        <horizontal/>
      </border>
    </dxf>
    <dxf>
      <font>
        <color auto="1"/>
      </font>
      <numFmt numFmtId="2" formatCode="0.00"/>
      <fill>
        <patternFill patternType="solid">
          <fgColor indexed="64"/>
          <bgColor theme="2"/>
        </patternFill>
      </fill>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7" tint="0.79998168889431442"/>
        </patternFill>
      </fill>
      <border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numFmt numFmtId="1" formatCode="0"/>
      <fill>
        <patternFill patternType="solid">
          <fgColor indexed="64"/>
          <bgColor theme="7" tint="0.79998168889431442"/>
        </patternFill>
      </fil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2" tint="-9.9978637043366805E-2"/>
        <name val="Calibri"/>
        <family val="2"/>
        <scheme val="minor"/>
      </font>
      <numFmt numFmtId="1" formatCode="0"/>
      <fill>
        <patternFill patternType="solid">
          <fgColor indexed="64"/>
          <bgColor theme="0"/>
        </patternFill>
      </fill>
      <border outline="0">
        <left style="thin">
          <color rgb="FF000000"/>
        </left>
        <right style="thin">
          <color rgb="FF000000"/>
        </right>
        <top style="thin">
          <color rgb="FF000000"/>
        </top>
        <bottom style="thin">
          <color rgb="FF000000"/>
        </bottom>
      </border>
    </dxf>
    <dxf>
      <border outline="0">
        <bottom style="thin">
          <color theme="0" tint="-0.499984740745262"/>
        </bottom>
      </border>
    </dxf>
    <dxf>
      <border outline="0">
        <left style="thin">
          <color theme="0" tint="-0.499984740745262"/>
        </left>
        <top style="thin">
          <color theme="0" tint="-0.499984740745262"/>
        </top>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bottom/>
      </border>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alignment vertical="center" textRotation="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alignment vertical="center" textRotation="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808080"/>
        </bottom>
      </border>
    </dxf>
    <dxf>
      <border outline="0">
        <top style="thin">
          <color rgb="FF808080"/>
        </top>
        <bottom style="thin">
          <color rgb="FF808080"/>
        </bottom>
      </border>
    </dxf>
    <dxf>
      <alignment vertical="center" textRotation="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theme="0" tint="-0.499984740745262"/>
        </bottom>
      </border>
    </dxf>
    <dxf>
      <border outline="0">
        <top style="thin">
          <color theme="0" tint="-0.499984740745262"/>
        </top>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border outline="0">
        <top style="thin">
          <color theme="0" tint="-0.499984740745262"/>
        </top>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border outline="0">
        <top style="thin">
          <color theme="0" tint="-0.499984740745262"/>
        </top>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theme="0" tint="-0.499984740745262"/>
        </bottom>
      </border>
    </dxf>
    <dxf>
      <border outline="0">
        <top style="thin">
          <color theme="0" tint="-0.499984740745262"/>
        </top>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0" tint="-4.9989318521683403E-2"/>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7" tint="0.79998168889431442"/>
        </patternFill>
      </fill>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ill>
        <patternFill patternType="solid">
          <fgColor indexed="64"/>
          <bgColor theme="4"/>
        </patternFill>
      </fill>
    </dxf>
    <dxf>
      <numFmt numFmtId="0" formatCode="General"/>
      <fill>
        <patternFill patternType="solid">
          <fgColor indexed="64"/>
          <bgColor theme="0" tint="-4.9989318521683403E-2"/>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numFmt numFmtId="14" formatCode="0.00%"/>
      <fill>
        <patternFill patternType="solid">
          <fgColor indexed="64"/>
          <bgColor theme="7" tint="0.79998168889431442"/>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ill>
        <patternFill patternType="solid">
          <fgColor indexed="64"/>
          <bgColor theme="4"/>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indexed="64"/>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0"/>
        <color rgb="FFFFFFFF"/>
        <name val="Calibri"/>
        <family val="2"/>
        <scheme val="none"/>
      </font>
      <fill>
        <patternFill patternType="solid">
          <fgColor rgb="FFB24669"/>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bottom style="thin">
          <color theme="0" tint="-0.499984740745262"/>
        </bottom>
      </border>
    </dxf>
    <dxf>
      <border outline="0">
        <top style="thin">
          <color theme="0" tint="-0.499984740745262"/>
        </top>
      </border>
    </dxf>
    <dxf>
      <font>
        <b/>
        <i val="0"/>
        <strike val="0"/>
        <condense val="0"/>
        <extend val="0"/>
        <outline val="0"/>
        <shadow val="0"/>
        <u val="none"/>
        <vertAlign val="baseline"/>
        <sz val="10"/>
        <color rgb="FFFFFFFF"/>
        <name val="Calibri"/>
        <family val="2"/>
        <scheme val="none"/>
      </font>
      <fill>
        <patternFill patternType="solid">
          <fgColor rgb="FFB24669"/>
          <bgColor theme="4"/>
        </patternFill>
      </fill>
      <alignment horizontal="left" vertical="center" textRotation="0" wrapText="1" indent="0" justifyLastLine="0" shrinkToFit="0" readingOrder="0"/>
    </dxf>
  </dxfs>
  <tableStyles count="0" defaultTableStyle="TableStyleMedium2" defaultPivotStyle="PivotStyleLight16"/>
  <colors>
    <mruColors>
      <color rgb="FFC3BBEB"/>
      <color rgb="FFFFCCCC"/>
      <color rgb="FFFF9999"/>
      <color rgb="FFF3EBF9"/>
      <color rgb="FFCCCCFF"/>
      <color rgb="FFFFC000"/>
      <color rgb="FF187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E31-46C6-A344-0DBF9D8A5B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E31-46C6-A344-0DBF9D8A5B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31-46C6-A344-0DBF9D8A5B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E31-46C6-A344-0DBF9D8A5B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E31-46C6-A344-0DBF9D8A5B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E31-46C6-A344-0DBF9D8A5B1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E31-46C6-A344-0DBF9D8A5B1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E31-46C6-A344-0DBF9D8A5B1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E31-46C6-A344-0DBF9D8A5B1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E31-46C6-A344-0DBF9D8A5B1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E31-46C6-A344-0DBF9D8A5B1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E31-46C6-A344-0DBF9D8A5B1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E31-46C6-A344-0DBF9D8A5B1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E31-46C6-A344-0DBF9D8A5B1A}"/>
              </c:ext>
            </c:extLst>
          </c:dPt>
          <c:cat>
            <c:strRef>
              <c:f>'4.2 Dashboard_Topic'!$A$6:$A$19</c:f>
              <c:strCache>
                <c:ptCount val="14"/>
                <c:pt idx="0">
                  <c:v>APP</c:v>
                </c:pt>
                <c:pt idx="1">
                  <c:v>ASSET</c:v>
                </c:pt>
                <c:pt idx="2">
                  <c:v>CLOUD</c:v>
                </c:pt>
                <c:pt idx="3">
                  <c:v>DATA</c:v>
                </c:pt>
                <c:pt idx="4">
                  <c:v>DET</c:v>
                </c:pt>
                <c:pt idx="5">
                  <c:v>ENDPT</c:v>
                </c:pt>
                <c:pt idx="6">
                  <c:v>GOV</c:v>
                </c:pt>
                <c:pt idx="7">
                  <c:v>IAM</c:v>
                </c:pt>
                <c:pt idx="8">
                  <c:v>INC</c:v>
                </c:pt>
                <c:pt idx="9">
                  <c:v>NTW</c:v>
                </c:pt>
                <c:pt idx="10">
                  <c:v>OPS</c:v>
                </c:pt>
                <c:pt idx="11">
                  <c:v>RES</c:v>
                </c:pt>
                <c:pt idx="12">
                  <c:v>RISK</c:v>
                </c:pt>
                <c:pt idx="13">
                  <c:v>TP</c:v>
                </c:pt>
              </c:strCache>
            </c:strRef>
          </c:cat>
          <c:val>
            <c:numRef>
              <c:f>'4.2 Dashboard_Topic'!$B$6:$B$19</c:f>
              <c:numCache>
                <c:formatCode>0</c:formatCode>
                <c:ptCount val="14"/>
                <c:pt idx="0">
                  <c:v>0</c:v>
                </c:pt>
                <c:pt idx="1">
                  <c:v>1622.6427868316812</c:v>
                </c:pt>
                <c:pt idx="2">
                  <c:v>0</c:v>
                </c:pt>
                <c:pt idx="3">
                  <c:v>0</c:v>
                </c:pt>
                <c:pt idx="4">
                  <c:v>15.972790834285716</c:v>
                </c:pt>
                <c:pt idx="5">
                  <c:v>1.5960111374999999</c:v>
                </c:pt>
                <c:pt idx="6">
                  <c:v>407.18086906166667</c:v>
                </c:pt>
                <c:pt idx="7">
                  <c:v>0</c:v>
                </c:pt>
                <c:pt idx="8">
                  <c:v>0</c:v>
                </c:pt>
                <c:pt idx="9">
                  <c:v>1273.2061585702072</c:v>
                </c:pt>
                <c:pt idx="10">
                  <c:v>0</c:v>
                </c:pt>
                <c:pt idx="11">
                  <c:v>19.264526658695555</c:v>
                </c:pt>
                <c:pt idx="12">
                  <c:v>0.31970883174120279</c:v>
                </c:pt>
                <c:pt idx="13">
                  <c:v>1963.7186593110393</c:v>
                </c:pt>
              </c:numCache>
            </c:numRef>
          </c:val>
          <c:extLst>
            <c:ext xmlns:c16="http://schemas.microsoft.com/office/drawing/2014/chart" uri="{C3380CC4-5D6E-409C-BE32-E72D297353CC}">
              <c16:uniqueId val="{00000000-DD6A-45E2-B848-396F18A0940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83-4809-8885-A86C92C803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83-4809-8885-A86C92C803F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83-4809-8885-A86C92C803F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83-4809-8885-A86C92C803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383-4809-8885-A86C92C803F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83-4809-8885-A86C92C803F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422-4CA6-B5E3-90D64B9F7946}"/>
              </c:ext>
            </c:extLst>
          </c:dPt>
          <c:cat>
            <c:strRef>
              <c:f>'4.3 Dashboard_Category'!$A$4:$A$10</c:f>
              <c:strCache>
                <c:ptCount val="7"/>
                <c:pt idx="0">
                  <c:v>Cyber devices</c:v>
                </c:pt>
                <c:pt idx="1">
                  <c:v>Network</c:v>
                </c:pt>
                <c:pt idx="2">
                  <c:v>Backup Servers</c:v>
                </c:pt>
                <c:pt idx="3">
                  <c:v>Cyber Software Infrastructure</c:v>
                </c:pt>
                <c:pt idx="4">
                  <c:v>External services</c:v>
                </c:pt>
                <c:pt idx="5">
                  <c:v>Travel</c:v>
                </c:pt>
                <c:pt idx="6">
                  <c:v>Non cyber equipments</c:v>
                </c:pt>
              </c:strCache>
            </c:strRef>
          </c:cat>
          <c:val>
            <c:numRef>
              <c:f>'4.3 Dashboard_Category'!$D$4:$D$10</c:f>
              <c:numCache>
                <c:formatCode>0</c:formatCode>
                <c:ptCount val="7"/>
                <c:pt idx="0">
                  <c:v>23.657712391666667</c:v>
                </c:pt>
                <c:pt idx="1">
                  <c:v>50.43928326857143</c:v>
                </c:pt>
                <c:pt idx="2">
                  <c:v>19.137024446195554</c:v>
                </c:pt>
                <c:pt idx="3">
                  <c:v>4434.0389241719622</c:v>
                </c:pt>
                <c:pt idx="4">
                  <c:v>391.38189693842082</c:v>
                </c:pt>
                <c:pt idx="5">
                  <c:v>385.24667001999995</c:v>
                </c:pt>
                <c:pt idx="6">
                  <c:v>33.076888075333336</c:v>
                </c:pt>
              </c:numCache>
            </c:numRef>
          </c:val>
          <c:extLst>
            <c:ext xmlns:c16="http://schemas.microsoft.com/office/drawing/2014/chart" uri="{C3380CC4-5D6E-409C-BE32-E72D297353CC}">
              <c16:uniqueId val="{00000000-EFDF-4122-B360-49BE69DF1F6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'4.3 Dashboard_Category'!$B$12</c:f>
              <c:strCache>
                <c:ptCount val="1"/>
                <c:pt idx="0">
                  <c:v>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50-4BAF-BECB-F4911476F1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50-4BAF-BECB-F4911476F11E}"/>
              </c:ext>
            </c:extLst>
          </c:dPt>
          <c:cat>
            <c:strRef>
              <c:f>'4.3 Dashboard_Category'!$A$13:$A$14</c:f>
              <c:strCache>
                <c:ptCount val="2"/>
                <c:pt idx="0">
                  <c:v>Scope 2</c:v>
                </c:pt>
                <c:pt idx="1">
                  <c:v>Scope 3</c:v>
                </c:pt>
              </c:strCache>
            </c:strRef>
          </c:cat>
          <c:val>
            <c:numRef>
              <c:f>'4.3 Dashboard_Category'!$B$13:$B$14</c:f>
              <c:numCache>
                <c:formatCode>0</c:formatCode>
                <c:ptCount val="2"/>
                <c:pt idx="0">
                  <c:v>69.823229816320008</c:v>
                </c:pt>
                <c:pt idx="1">
                  <c:v>5267.1551694958298</c:v>
                </c:pt>
              </c:numCache>
            </c:numRef>
          </c:val>
          <c:extLst>
            <c:ext xmlns:c16="http://schemas.microsoft.com/office/drawing/2014/chart" uri="{C3380CC4-5D6E-409C-BE32-E72D297353CC}">
              <c16:uniqueId val="{00000000-AAC0-4E59-BA55-B1C51E2A8F5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plotArea>
      <cx:plotAreaRegion>
        <cx:series layoutId="sunburst" uniqueId="{FF87ECCE-B969-4A2C-A869-F81A58577A4A}">
          <cx:tx>
            <cx:txData>
              <cx:f>_xlchart.v1.1</cx:f>
              <cx:v>Total yearly CO2e emissions (kgCO2e)</cx:v>
            </cx:txData>
          </cx:tx>
          <cx:dataLabels pos="ctr">
            <cx:txPr>
              <a:bodyPr spcFirstLastPara="1" vertOverflow="ellipsis" horzOverflow="overflow" wrap="square" lIns="0" tIns="0" rIns="0" bIns="0" anchor="ctr" anchorCtr="1"/>
              <a:lstStyle/>
              <a:p>
                <a:pPr algn="ctr" rtl="0">
                  <a:defRPr sz="700"/>
                </a:pPr>
                <a:endParaRPr lang="fr-FR" sz="700" b="0" i="0" u="none" strike="noStrike" baseline="0">
                  <a:solidFill>
                    <a:sysClr val="window" lastClr="FFFFFF"/>
                  </a:solidFill>
                  <a:latin typeface="Calibri" panose="020F0502020204030204"/>
                </a:endParaRPr>
              </a:p>
            </cx:txPr>
            <cx:visibility seriesName="0" categoryName="1" value="0"/>
          </cx:dataLabels>
          <cx:dataId val="0"/>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_xlchart.v1.5</cx:f>
      </cx:numDim>
    </cx:data>
  </cx:chartData>
  <cx:chart>
    <cx:title pos="t" align="ctr" overlay="0">
      <cx:tx>
        <cx:txData>
          <cx:v>Titre du graphique</cx:v>
        </cx:txData>
      </cx:tx>
      <cx:txPr>
        <a:bodyPr vertOverflow="overflow" horzOverflow="overflow" wrap="square" lIns="0" tIns="0" rIns="0" bIns="0"/>
        <a:lstStyle/>
        <a:p>
          <a:pPr algn="ctr" rtl="0">
            <a:defRPr sz="1400" b="0" i="0">
              <a:solidFill>
                <a:srgbClr val="7F7F7F"/>
              </a:solidFill>
              <a:latin typeface="Calibri" panose="020F0502020204030204" pitchFamily="34" charset="0"/>
              <a:ea typeface="Calibri" panose="020F0502020204030204" pitchFamily="34" charset="0"/>
              <a:cs typeface="Calibri" panose="020F0502020204030204" pitchFamily="34" charset="0"/>
            </a:defRPr>
          </a:pPr>
          <a:r>
            <a:t>Titre du graphique</a:t>
          </a:r>
        </a:p>
      </cx:txPr>
    </cx:title>
    <cx:plotArea>
      <cx:plotAreaRegion>
        <cx:series layoutId="sunburst" uniqueId="{285F96FC-CB53-4610-8CAF-92C6641724D8}">
          <cx:tx>
            <cx:txData>
              <cx:f>_xlchart.v1.4</cx:f>
              <cx:v>tCO2e</cx:v>
            </cx:txData>
          </cx:tx>
          <cx:dataLabels pos="ctr">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1" value="0"/>
          </cx:dataLabels>
          <cx:dataId val="0"/>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_xlchart.v1.8</cx:f>
      </cx:numDim>
    </cx:data>
  </cx:chartData>
  <cx:chart>
    <cx:title pos="t" align="ctr" overlay="0">
      <cx:tx>
        <cx:txData>
          <cx:v>Titre du graphique</cx:v>
        </cx:txData>
      </cx:tx>
      <cx:txPr>
        <a:bodyPr vertOverflow="overflow" horzOverflow="overflow" wrap="square" lIns="0" tIns="0" rIns="0" bIns="0"/>
        <a:lstStyle/>
        <a:p>
          <a:pPr algn="ctr" rtl="0">
            <a:defRPr sz="1400" b="0" i="0">
              <a:solidFill>
                <a:srgbClr val="7F7F7F"/>
              </a:solidFill>
              <a:latin typeface="Calibri" panose="020F0502020204030204" pitchFamily="34" charset="0"/>
              <a:ea typeface="Calibri" panose="020F0502020204030204" pitchFamily="34" charset="0"/>
              <a:cs typeface="Calibri" panose="020F0502020204030204" pitchFamily="34" charset="0"/>
            </a:defRPr>
          </a:pPr>
          <a:r>
            <a:t>Titre du graphique</a:t>
          </a:r>
        </a:p>
      </cx:txPr>
    </cx:title>
    <cx:plotArea>
      <cx:plotAreaRegion>
        <cx:series layoutId="sunburst" uniqueId="{CD740C45-4D36-4BB8-B898-61C40622B2DA}">
          <cx:tx>
            <cx:txData>
              <cx:f>_xlchart.v1.7</cx:f>
              <cx:v>tCO2e</cx:v>
            </cx:txData>
          </cx:tx>
          <cx:dataLabels pos="ctr">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1" value="0"/>
          </cx:dataLabels>
          <cx:dataId val="0"/>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_xlchart.v1.9</cx:f>
      </cx:strDim>
      <cx:numDim type="size">
        <cx:f>_xlchart.v1.11</cx:f>
      </cx:numDim>
    </cx:data>
  </cx:chartData>
  <cx:chart>
    <cx:plotArea>
      <cx:plotAreaRegion>
        <cx:series layoutId="sunburst" uniqueId="{CDECA905-EE91-4E84-A256-99100BD8CA57}">
          <cx:tx>
            <cx:txData>
              <cx:f>_xlchart.v1.10</cx:f>
              <cx:v>tCO2e</cx:v>
            </cx:txData>
          </cx:tx>
          <cx:dataLabels pos="ctr">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1" value="0"/>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microsoft.com/office/2014/relationships/chartEx" Target="../charts/chartEx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4</xdr:row>
      <xdr:rowOff>57151</xdr:rowOff>
    </xdr:from>
    <xdr:to>
      <xdr:col>8</xdr:col>
      <xdr:colOff>63500</xdr:colOff>
      <xdr:row>15</xdr:row>
      <xdr:rowOff>111678</xdr:rowOff>
    </xdr:to>
    <xdr:pic>
      <xdr:nvPicPr>
        <xdr:cNvPr id="4" name="Image 3">
          <a:extLst>
            <a:ext uri="{FF2B5EF4-FFF2-40B4-BE49-F238E27FC236}">
              <a16:creationId xmlns:a16="http://schemas.microsoft.com/office/drawing/2014/main" id="{C3E5AD77-64E9-9ECD-2EF4-26FA42AA0D6C}"/>
            </a:ext>
          </a:extLst>
        </xdr:cNvPr>
        <xdr:cNvPicPr>
          <a:picLocks noChangeAspect="1"/>
        </xdr:cNvPicPr>
      </xdr:nvPicPr>
      <xdr:blipFill>
        <a:blip xmlns:r="http://schemas.openxmlformats.org/officeDocument/2006/relationships" r:embed="rId1"/>
        <a:stretch>
          <a:fillRect/>
        </a:stretch>
      </xdr:blipFill>
      <xdr:spPr>
        <a:xfrm>
          <a:off x="57150" y="781051"/>
          <a:ext cx="6102350" cy="3493052"/>
        </a:xfrm>
        <a:prstGeom prst="rect">
          <a:avLst/>
        </a:prstGeom>
        <a:ln>
          <a:solidFill>
            <a:schemeClr val="tx2"/>
          </a:solidFill>
        </a:ln>
      </xdr:spPr>
    </xdr:pic>
    <xdr:clientData/>
  </xdr:twoCellAnchor>
  <xdr:twoCellAnchor editAs="oneCell">
    <xdr:from>
      <xdr:col>0</xdr:col>
      <xdr:colOff>57150</xdr:colOff>
      <xdr:row>16</xdr:row>
      <xdr:rowOff>171450</xdr:rowOff>
    </xdr:from>
    <xdr:to>
      <xdr:col>8</xdr:col>
      <xdr:colOff>73025</xdr:colOff>
      <xdr:row>36</xdr:row>
      <xdr:rowOff>541</xdr:rowOff>
    </xdr:to>
    <xdr:pic>
      <xdr:nvPicPr>
        <xdr:cNvPr id="5" name="Image 4">
          <a:extLst>
            <a:ext uri="{FF2B5EF4-FFF2-40B4-BE49-F238E27FC236}">
              <a16:creationId xmlns:a16="http://schemas.microsoft.com/office/drawing/2014/main" id="{9370ADEB-DE71-6C7F-5C78-5E5623F45034}"/>
            </a:ext>
          </a:extLst>
        </xdr:cNvPr>
        <xdr:cNvPicPr>
          <a:picLocks noChangeAspect="1"/>
        </xdr:cNvPicPr>
      </xdr:nvPicPr>
      <xdr:blipFill>
        <a:blip xmlns:r="http://schemas.openxmlformats.org/officeDocument/2006/relationships" r:embed="rId2"/>
        <a:stretch>
          <a:fillRect/>
        </a:stretch>
      </xdr:blipFill>
      <xdr:spPr>
        <a:xfrm>
          <a:off x="57150" y="5924550"/>
          <a:ext cx="6035675" cy="3448591"/>
        </a:xfrm>
        <a:prstGeom prst="rect">
          <a:avLst/>
        </a:prstGeom>
        <a:ln>
          <a:solidFill>
            <a:schemeClr val="tx2"/>
          </a:solidFill>
        </a:ln>
      </xdr:spPr>
    </xdr:pic>
    <xdr:clientData/>
  </xdr:twoCellAnchor>
  <xdr:twoCellAnchor>
    <xdr:from>
      <xdr:col>10</xdr:col>
      <xdr:colOff>38100</xdr:colOff>
      <xdr:row>1</xdr:row>
      <xdr:rowOff>44450</xdr:rowOff>
    </xdr:from>
    <xdr:to>
      <xdr:col>13</xdr:col>
      <xdr:colOff>609600</xdr:colOff>
      <xdr:row>9</xdr:row>
      <xdr:rowOff>114300</xdr:rowOff>
    </xdr:to>
    <xdr:sp macro="" textlink="">
      <xdr:nvSpPr>
        <xdr:cNvPr id="6" name="Rectangle 5">
          <a:extLst>
            <a:ext uri="{FF2B5EF4-FFF2-40B4-BE49-F238E27FC236}">
              <a16:creationId xmlns:a16="http://schemas.microsoft.com/office/drawing/2014/main" id="{1D60E5C2-58A8-6EB6-35E8-253AEB070549}"/>
            </a:ext>
          </a:extLst>
        </xdr:cNvPr>
        <xdr:cNvSpPr/>
      </xdr:nvSpPr>
      <xdr:spPr>
        <a:xfrm>
          <a:off x="7658100" y="225425"/>
          <a:ext cx="2857500" cy="1517650"/>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0" i="1" u="none" strike="noStrike">
              <a:solidFill>
                <a:schemeClr val="lt1"/>
              </a:solidFill>
              <a:effectLst/>
              <a:latin typeface="+mn-lt"/>
              <a:ea typeface="+mn-ea"/>
              <a:cs typeface="+mn-cs"/>
            </a:rPr>
            <a:t>Licence </a:t>
          </a:r>
          <a:r>
            <a:rPr lang="fr-FR" sz="1100" i="1">
              <a:solidFill>
                <a:schemeClr val="lt1"/>
              </a:solidFill>
              <a:effectLst/>
              <a:latin typeface="+mn-lt"/>
              <a:ea typeface="+mn-ea"/>
              <a:cs typeface="+mn-cs"/>
            </a:rPr>
            <a:t>Creative Common CC BY-ND</a:t>
          </a:r>
        </a:p>
        <a:p>
          <a:pPr algn="l"/>
          <a:r>
            <a:rPr lang="fr-FR" sz="1100" b="0" i="0" u="none" strike="noStrike">
              <a:solidFill>
                <a:schemeClr val="lt1"/>
              </a:solidFill>
              <a:effectLst/>
              <a:latin typeface="+mn-lt"/>
              <a:ea typeface="+mn-ea"/>
              <a:cs typeface="+mn-cs"/>
            </a:rPr>
            <a:t>Based on the V1 Methodology created and made available by Wavestone, the Cyber Sustainability v2 Methodology was produced by the Cyber Campus Working Group led by Wavestone in cooperation with Advens, Capgemini, Qorum Secur'Num, Sopra Steria Groupe and with the support of ADEME.</a:t>
          </a:r>
          <a:r>
            <a:rPr lang="fr-FR"/>
            <a:t> </a:t>
          </a:r>
          <a:endParaRPr lang="fr-FR"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9</xdr:col>
      <xdr:colOff>244928</xdr:colOff>
      <xdr:row>86</xdr:row>
      <xdr:rowOff>15733</xdr:rowOff>
    </xdr:to>
    <xdr:pic>
      <xdr:nvPicPr>
        <xdr:cNvPr id="26" name="Image 8">
          <a:extLst>
            <a:ext uri="{FF2B5EF4-FFF2-40B4-BE49-F238E27FC236}">
              <a16:creationId xmlns:a16="http://schemas.microsoft.com/office/drawing/2014/main" id="{29F242DC-44C7-281A-DC83-FFB2B2686AE3}"/>
            </a:ext>
          </a:extLst>
        </xdr:cNvPr>
        <xdr:cNvPicPr>
          <a:picLocks noChangeAspect="1"/>
        </xdr:cNvPicPr>
      </xdr:nvPicPr>
      <xdr:blipFill>
        <a:blip xmlns:r="http://schemas.openxmlformats.org/officeDocument/2006/relationships" r:embed="rId1"/>
        <a:stretch>
          <a:fillRect/>
        </a:stretch>
      </xdr:blipFill>
      <xdr:spPr>
        <a:xfrm>
          <a:off x="2721429" y="9511393"/>
          <a:ext cx="20056928" cy="6822933"/>
        </a:xfrm>
        <a:prstGeom prst="rect">
          <a:avLst/>
        </a:prstGeom>
      </xdr:spPr>
    </xdr:pic>
    <xdr:clientData/>
  </xdr:twoCellAnchor>
  <xdr:twoCellAnchor>
    <xdr:from>
      <xdr:col>0</xdr:col>
      <xdr:colOff>1758950</xdr:colOff>
      <xdr:row>49</xdr:row>
      <xdr:rowOff>144525</xdr:rowOff>
    </xdr:from>
    <xdr:to>
      <xdr:col>0</xdr:col>
      <xdr:colOff>2517321</xdr:colOff>
      <xdr:row>49</xdr:row>
      <xdr:rowOff>149678</xdr:rowOff>
    </xdr:to>
    <xdr:cxnSp macro="">
      <xdr:nvCxnSpPr>
        <xdr:cNvPr id="3" name="Connecteur droit avec flèche 2">
          <a:extLst>
            <a:ext uri="{FF2B5EF4-FFF2-40B4-BE49-F238E27FC236}">
              <a16:creationId xmlns:a16="http://schemas.microsoft.com/office/drawing/2014/main" id="{45D81B8E-C89F-4B1B-9807-522C68030767}"/>
            </a:ext>
          </a:extLst>
        </xdr:cNvPr>
        <xdr:cNvCxnSpPr>
          <a:stCxn id="13" idx="3"/>
        </xdr:cNvCxnSpPr>
      </xdr:nvCxnSpPr>
      <xdr:spPr>
        <a:xfrm>
          <a:off x="1758950" y="9655918"/>
          <a:ext cx="758371" cy="51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123723</xdr:rowOff>
    </xdr:from>
    <xdr:to>
      <xdr:col>0</xdr:col>
      <xdr:colOff>1762125</xdr:colOff>
      <xdr:row>50</xdr:row>
      <xdr:rowOff>158976</xdr:rowOff>
    </xdr:to>
    <xdr:sp macro="" textlink="">
      <xdr:nvSpPr>
        <xdr:cNvPr id="13" name="ZoneTexte 1">
          <a:extLst>
            <a:ext uri="{FF2B5EF4-FFF2-40B4-BE49-F238E27FC236}">
              <a16:creationId xmlns:a16="http://schemas.microsoft.com/office/drawing/2014/main" id="{A7302561-CAFB-487F-83C4-BB00B813C746}"/>
            </a:ext>
          </a:extLst>
        </xdr:cNvPr>
        <xdr:cNvSpPr txBox="1"/>
      </xdr:nvSpPr>
      <xdr:spPr>
        <a:xfrm>
          <a:off x="0" y="9458223"/>
          <a:ext cx="1762125" cy="389039"/>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100" b="1" i="0" u="none" strike="noStrike" kern="1200" cap="none" spc="0" normalizeH="0" baseline="0" noProof="0">
              <a:ln>
                <a:noFill/>
              </a:ln>
              <a:solidFill>
                <a:prstClr val="white"/>
              </a:solidFill>
              <a:effectLst/>
              <a:uLnTx/>
              <a:uFillTx/>
              <a:latin typeface="+mn-lt"/>
              <a:ea typeface="+mn-ea"/>
              <a:cs typeface="+mn-cs"/>
            </a:rPr>
            <a:t>The sheet title is in green</a:t>
          </a:r>
          <a:endParaRPr kumimoji="0" lang="fr-FR" sz="1100" b="0" i="0" u="none" strike="noStrike" kern="1200" cap="none" spc="0" normalizeH="0" baseline="0" noProof="0">
            <a:ln>
              <a:noFill/>
            </a:ln>
            <a:solidFill>
              <a:prstClr val="white"/>
            </a:solidFill>
            <a:effectLst/>
            <a:uLnTx/>
            <a:uFillTx/>
            <a:latin typeface="+mn-lt"/>
            <a:ea typeface="+mn-ea"/>
            <a:cs typeface="+mn-cs"/>
          </a:endParaRPr>
        </a:p>
      </xdr:txBody>
    </xdr:sp>
    <xdr:clientData/>
  </xdr:twoCellAnchor>
  <xdr:twoCellAnchor>
    <xdr:from>
      <xdr:col>2</xdr:col>
      <xdr:colOff>2268</xdr:colOff>
      <xdr:row>44</xdr:row>
      <xdr:rowOff>82550</xdr:rowOff>
    </xdr:from>
    <xdr:to>
      <xdr:col>2</xdr:col>
      <xdr:colOff>1211035</xdr:colOff>
      <xdr:row>54</xdr:row>
      <xdr:rowOff>108857</xdr:rowOff>
    </xdr:to>
    <xdr:cxnSp macro="">
      <xdr:nvCxnSpPr>
        <xdr:cNvPr id="29" name="Connecteur droit avec flèche 14">
          <a:extLst>
            <a:ext uri="{FF2B5EF4-FFF2-40B4-BE49-F238E27FC236}">
              <a16:creationId xmlns:a16="http://schemas.microsoft.com/office/drawing/2014/main" id="{D104D7E7-650D-4406-8B2F-000EB12CD9D8}"/>
            </a:ext>
          </a:extLst>
        </xdr:cNvPr>
        <xdr:cNvCxnSpPr/>
      </xdr:nvCxnSpPr>
      <xdr:spPr>
        <a:xfrm>
          <a:off x="5594804" y="8137979"/>
          <a:ext cx="1208767" cy="23667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46</xdr:row>
      <xdr:rowOff>123825</xdr:rowOff>
    </xdr:from>
    <xdr:to>
      <xdr:col>3</xdr:col>
      <xdr:colOff>312964</xdr:colOff>
      <xdr:row>54</xdr:row>
      <xdr:rowOff>122464</xdr:rowOff>
    </xdr:to>
    <xdr:cxnSp macro="">
      <xdr:nvCxnSpPr>
        <xdr:cNvPr id="32" name="Connecteur droit avec flèche 19">
          <a:extLst>
            <a:ext uri="{FF2B5EF4-FFF2-40B4-BE49-F238E27FC236}">
              <a16:creationId xmlns:a16="http://schemas.microsoft.com/office/drawing/2014/main" id="{8A39A55C-8D1C-4D5A-8868-B2FA7698A57E}"/>
            </a:ext>
          </a:extLst>
        </xdr:cNvPr>
        <xdr:cNvCxnSpPr/>
      </xdr:nvCxnSpPr>
      <xdr:spPr>
        <a:xfrm>
          <a:off x="5592536" y="8914039"/>
          <a:ext cx="4041321" cy="16042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15875</xdr:colOff>
      <xdr:row>47</xdr:row>
      <xdr:rowOff>95250</xdr:rowOff>
    </xdr:from>
    <xdr:to>
      <xdr:col>8</xdr:col>
      <xdr:colOff>462643</xdr:colOff>
      <xdr:row>61</xdr:row>
      <xdr:rowOff>149679</xdr:rowOff>
    </xdr:to>
    <xdr:cxnSp macro="">
      <xdr:nvCxnSpPr>
        <xdr:cNvPr id="28" name="Connecteur droit avec flèche 22">
          <a:extLst>
            <a:ext uri="{FF2B5EF4-FFF2-40B4-BE49-F238E27FC236}">
              <a16:creationId xmlns:a16="http://schemas.microsoft.com/office/drawing/2014/main" id="{C029FD31-CA82-4D5F-BD37-C809CC514C2C}"/>
            </a:ext>
          </a:extLst>
        </xdr:cNvPr>
        <xdr:cNvCxnSpPr/>
      </xdr:nvCxnSpPr>
      <xdr:spPr>
        <a:xfrm>
          <a:off x="5608411" y="9252857"/>
          <a:ext cx="16598446" cy="25309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94</xdr:row>
      <xdr:rowOff>109103</xdr:rowOff>
    </xdr:from>
    <xdr:to>
      <xdr:col>0</xdr:col>
      <xdr:colOff>1714500</xdr:colOff>
      <xdr:row>97</xdr:row>
      <xdr:rowOff>63500</xdr:rowOff>
    </xdr:to>
    <xdr:sp macro="" textlink="">
      <xdr:nvSpPr>
        <xdr:cNvPr id="52" name="ZoneTexte 1">
          <a:extLst>
            <a:ext uri="{FF2B5EF4-FFF2-40B4-BE49-F238E27FC236}">
              <a16:creationId xmlns:a16="http://schemas.microsoft.com/office/drawing/2014/main" id="{FE814856-D81A-4225-A519-2A82D1C3FE89}"/>
            </a:ext>
          </a:extLst>
        </xdr:cNvPr>
        <xdr:cNvSpPr txBox="1"/>
      </xdr:nvSpPr>
      <xdr:spPr>
        <a:xfrm>
          <a:off x="0" y="14063228"/>
          <a:ext cx="1714500" cy="52589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kern="1200" baseline="0">
              <a:solidFill>
                <a:schemeClr val="bg1"/>
              </a:solidFill>
            </a:rPr>
            <a:t>Table with results by category by scope</a:t>
          </a:r>
          <a:endParaRPr lang="fr-FR" sz="1200" b="0" kern="1200" baseline="0">
            <a:solidFill>
              <a:schemeClr val="bg1"/>
            </a:solidFill>
          </a:endParaRPr>
        </a:p>
      </xdr:txBody>
    </xdr:sp>
    <xdr:clientData/>
  </xdr:twoCellAnchor>
  <xdr:twoCellAnchor>
    <xdr:from>
      <xdr:col>0</xdr:col>
      <xdr:colOff>1714500</xdr:colOff>
      <xdr:row>95</xdr:row>
      <xdr:rowOff>177016</xdr:rowOff>
    </xdr:from>
    <xdr:to>
      <xdr:col>0</xdr:col>
      <xdr:colOff>2682875</xdr:colOff>
      <xdr:row>96</xdr:row>
      <xdr:rowOff>123</xdr:rowOff>
    </xdr:to>
    <xdr:cxnSp macro="">
      <xdr:nvCxnSpPr>
        <xdr:cNvPr id="24" name="Connecteur droit avec flèche 30">
          <a:extLst>
            <a:ext uri="{FF2B5EF4-FFF2-40B4-BE49-F238E27FC236}">
              <a16:creationId xmlns:a16="http://schemas.microsoft.com/office/drawing/2014/main" id="{B0EF5D58-6166-404F-B492-D3ECEF540362}"/>
            </a:ext>
          </a:extLst>
        </xdr:cNvPr>
        <xdr:cNvCxnSpPr>
          <a:stCxn id="52" idx="3"/>
        </xdr:cNvCxnSpPr>
      </xdr:nvCxnSpPr>
      <xdr:spPr>
        <a:xfrm>
          <a:off x="1714500" y="18383373"/>
          <a:ext cx="968375" cy="45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107</xdr:row>
      <xdr:rowOff>23378</xdr:rowOff>
    </xdr:from>
    <xdr:to>
      <xdr:col>0</xdr:col>
      <xdr:colOff>1714500</xdr:colOff>
      <xdr:row>109</xdr:row>
      <xdr:rowOff>168275</xdr:rowOff>
    </xdr:to>
    <xdr:sp macro="" textlink="">
      <xdr:nvSpPr>
        <xdr:cNvPr id="55" name="ZoneTexte 1">
          <a:extLst>
            <a:ext uri="{FF2B5EF4-FFF2-40B4-BE49-F238E27FC236}">
              <a16:creationId xmlns:a16="http://schemas.microsoft.com/office/drawing/2014/main" id="{FB2C4207-FB14-49C2-B532-C5EB9C468560}"/>
            </a:ext>
          </a:extLst>
        </xdr:cNvPr>
        <xdr:cNvSpPr txBox="1"/>
      </xdr:nvSpPr>
      <xdr:spPr>
        <a:xfrm>
          <a:off x="0" y="16454003"/>
          <a:ext cx="1714500" cy="52589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kern="1200" baseline="0">
              <a:solidFill>
                <a:schemeClr val="bg1"/>
              </a:solidFill>
            </a:rPr>
            <a:t>Table with results by category by  topic</a:t>
          </a:r>
          <a:endParaRPr lang="fr-FR" sz="1200" b="0" kern="1200" baseline="0">
            <a:solidFill>
              <a:schemeClr val="bg1"/>
            </a:solidFill>
          </a:endParaRPr>
        </a:p>
      </xdr:txBody>
    </xdr:sp>
    <xdr:clientData/>
  </xdr:twoCellAnchor>
  <xdr:twoCellAnchor>
    <xdr:from>
      <xdr:col>0</xdr:col>
      <xdr:colOff>1714500</xdr:colOff>
      <xdr:row>108</xdr:row>
      <xdr:rowOff>95826</xdr:rowOff>
    </xdr:from>
    <xdr:to>
      <xdr:col>1</xdr:col>
      <xdr:colOff>25400</xdr:colOff>
      <xdr:row>108</xdr:row>
      <xdr:rowOff>104775</xdr:rowOff>
    </xdr:to>
    <xdr:cxnSp macro="">
      <xdr:nvCxnSpPr>
        <xdr:cNvPr id="25" name="Connecteur droit avec flèche 36">
          <a:extLst>
            <a:ext uri="{FF2B5EF4-FFF2-40B4-BE49-F238E27FC236}">
              <a16:creationId xmlns:a16="http://schemas.microsoft.com/office/drawing/2014/main" id="{407FF3CC-EB5C-4E53-A6B6-41FEF41DDC4F}"/>
            </a:ext>
          </a:extLst>
        </xdr:cNvPr>
        <xdr:cNvCxnSpPr>
          <a:stCxn id="55" idx="3"/>
        </xdr:cNvCxnSpPr>
      </xdr:nvCxnSpPr>
      <xdr:spPr>
        <a:xfrm>
          <a:off x="1714500" y="20660755"/>
          <a:ext cx="1023257" cy="8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1133763</xdr:colOff>
      <xdr:row>71</xdr:row>
      <xdr:rowOff>32411</xdr:rowOff>
    </xdr:from>
    <xdr:to>
      <xdr:col>0</xdr:col>
      <xdr:colOff>2707049</xdr:colOff>
      <xdr:row>71</xdr:row>
      <xdr:rowOff>32411</xdr:rowOff>
    </xdr:to>
    <xdr:cxnSp macro="">
      <xdr:nvCxnSpPr>
        <xdr:cNvPr id="38" name="Connecteur droit avec flèche 12">
          <a:extLst>
            <a:ext uri="{FF2B5EF4-FFF2-40B4-BE49-F238E27FC236}">
              <a16:creationId xmlns:a16="http://schemas.microsoft.com/office/drawing/2014/main" id="{51A83DB7-650E-4386-A8CD-F7567148656A}"/>
            </a:ext>
          </a:extLst>
        </xdr:cNvPr>
        <xdr:cNvCxnSpPr/>
      </xdr:nvCxnSpPr>
      <xdr:spPr>
        <a:xfrm>
          <a:off x="1133763" y="13435447"/>
          <a:ext cx="157328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xdr:row>
      <xdr:rowOff>163286</xdr:rowOff>
    </xdr:from>
    <xdr:to>
      <xdr:col>0</xdr:col>
      <xdr:colOff>1153145</xdr:colOff>
      <xdr:row>72</xdr:row>
      <xdr:rowOff>129210</xdr:rowOff>
    </xdr:to>
    <xdr:sp macro="" textlink="">
      <xdr:nvSpPr>
        <xdr:cNvPr id="35" name="ZoneTexte 1">
          <a:extLst>
            <a:ext uri="{FF2B5EF4-FFF2-40B4-BE49-F238E27FC236}">
              <a16:creationId xmlns:a16="http://schemas.microsoft.com/office/drawing/2014/main" id="{79C97719-97C2-4051-86FC-2B6ACC090987}"/>
            </a:ext>
          </a:extLst>
        </xdr:cNvPr>
        <xdr:cNvSpPr txBox="1"/>
      </xdr:nvSpPr>
      <xdr:spPr>
        <a:xfrm>
          <a:off x="0" y="13212536"/>
          <a:ext cx="1153145" cy="496603"/>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baseline="0">
              <a:solidFill>
                <a:schemeClr val="bg1"/>
              </a:solidFill>
            </a:rPr>
            <a:t>Explantations to fill each sheet</a:t>
          </a:r>
          <a:endParaRPr lang="fr-FR" sz="1100" b="0" kern="1200" baseline="0">
            <a:solidFill>
              <a:schemeClr val="bg1"/>
            </a:solidFill>
          </a:endParaRPr>
        </a:p>
      </xdr:txBody>
    </xdr:sp>
    <xdr:clientData/>
  </xdr:twoCellAnchor>
  <xdr:twoCellAnchor editAs="oneCell">
    <xdr:from>
      <xdr:col>0</xdr:col>
      <xdr:colOff>2707821</xdr:colOff>
      <xdr:row>91</xdr:row>
      <xdr:rowOff>184150</xdr:rowOff>
    </xdr:from>
    <xdr:to>
      <xdr:col>5</xdr:col>
      <xdr:colOff>900792</xdr:colOff>
      <xdr:row>119</xdr:row>
      <xdr:rowOff>55318</xdr:rowOff>
    </xdr:to>
    <xdr:pic>
      <xdr:nvPicPr>
        <xdr:cNvPr id="56" name="Image 17">
          <a:extLst>
            <a:ext uri="{FF2B5EF4-FFF2-40B4-BE49-F238E27FC236}">
              <a16:creationId xmlns:a16="http://schemas.microsoft.com/office/drawing/2014/main" id="{4112D145-8FE2-DB19-730F-EE9E7A650044}"/>
            </a:ext>
          </a:extLst>
        </xdr:cNvPr>
        <xdr:cNvPicPr>
          <a:picLocks noChangeAspect="1"/>
        </xdr:cNvPicPr>
      </xdr:nvPicPr>
      <xdr:blipFill>
        <a:blip xmlns:r="http://schemas.openxmlformats.org/officeDocument/2006/relationships" r:embed="rId2"/>
        <a:stretch>
          <a:fillRect/>
        </a:stretch>
      </xdr:blipFill>
      <xdr:spPr>
        <a:xfrm>
          <a:off x="2707821" y="17301936"/>
          <a:ext cx="12521746" cy="50400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136070</xdr:rowOff>
    </xdr:from>
    <xdr:to>
      <xdr:col>1</xdr:col>
      <xdr:colOff>1331851</xdr:colOff>
      <xdr:row>31</xdr:row>
      <xdr:rowOff>80634</xdr:rowOff>
    </xdr:to>
    <xdr:sp macro="" textlink="">
      <xdr:nvSpPr>
        <xdr:cNvPr id="2" name="ZoneTexte 1">
          <a:extLst>
            <a:ext uri="{FF2B5EF4-FFF2-40B4-BE49-F238E27FC236}">
              <a16:creationId xmlns:a16="http://schemas.microsoft.com/office/drawing/2014/main" id="{88D093B5-C1D1-45DF-ABC4-7B8422F1FAB4}"/>
            </a:ext>
          </a:extLst>
        </xdr:cNvPr>
        <xdr:cNvSpPr txBox="1"/>
      </xdr:nvSpPr>
      <xdr:spPr>
        <a:xfrm>
          <a:off x="0" y="5367260"/>
          <a:ext cx="6815026" cy="7307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kern="1200"/>
            <a:t>Filling Notice</a:t>
          </a:r>
        </a:p>
        <a:p>
          <a:r>
            <a:rPr lang="fr-FR" sz="1400" b="1">
              <a:solidFill>
                <a:srgbClr val="FF0000"/>
              </a:solidFill>
              <a:effectLst/>
              <a:latin typeface="+mn-lt"/>
              <a:ea typeface="+mn-ea"/>
              <a:cs typeface="+mn-cs"/>
            </a:rPr>
            <a:t>Fill-in only one of the two tables below (by</a:t>
          </a:r>
          <a:r>
            <a:rPr lang="fr-FR" sz="1400" b="1" baseline="0">
              <a:solidFill>
                <a:srgbClr val="FF0000"/>
              </a:solidFill>
              <a:effectLst/>
              <a:latin typeface="+mn-lt"/>
              <a:ea typeface="+mn-ea"/>
              <a:cs typeface="+mn-cs"/>
            </a:rPr>
            <a:t> server or by cost, depending on the infomation available), to avoid double counting !</a:t>
          </a:r>
          <a:endParaRPr lang="fr-FR"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67107</xdr:rowOff>
    </xdr:from>
    <xdr:to>
      <xdr:col>2</xdr:col>
      <xdr:colOff>1800947</xdr:colOff>
      <xdr:row>18</xdr:row>
      <xdr:rowOff>57727</xdr:rowOff>
    </xdr:to>
    <mc:AlternateContent xmlns:mc="http://schemas.openxmlformats.org/markup-compatibility/2006">
      <mc:Choice xmlns:cx1="http://schemas.microsoft.com/office/drawing/2015/9/8/chartex" Requires="cx1">
        <xdr:graphicFrame macro="">
          <xdr:nvGraphicFramePr>
            <xdr:cNvPr id="2" name="Graphique 1">
              <a:extLst>
                <a:ext uri="{FF2B5EF4-FFF2-40B4-BE49-F238E27FC236}">
                  <a16:creationId xmlns:a16="http://schemas.microsoft.com/office/drawing/2014/main" id="{BD542DBD-5108-55CB-9DB2-159B738C22D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11545</xdr:colOff>
      <xdr:row>4</xdr:row>
      <xdr:rowOff>2307</xdr:rowOff>
    </xdr:from>
    <xdr:to>
      <xdr:col>9</xdr:col>
      <xdr:colOff>11544</xdr:colOff>
      <xdr:row>19</xdr:row>
      <xdr:rowOff>11545</xdr:rowOff>
    </xdr:to>
    <xdr:graphicFrame macro="">
      <xdr:nvGraphicFramePr>
        <xdr:cNvPr id="2" name="Graphique 1">
          <a:extLst>
            <a:ext uri="{FF2B5EF4-FFF2-40B4-BE49-F238E27FC236}">
              <a16:creationId xmlns:a16="http://schemas.microsoft.com/office/drawing/2014/main" id="{2B1B2B91-5535-EC3E-786B-82549F6D40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41</xdr:row>
      <xdr:rowOff>2307</xdr:rowOff>
    </xdr:from>
    <xdr:to>
      <xdr:col>15</xdr:col>
      <xdr:colOff>746125</xdr:colOff>
      <xdr:row>85</xdr:row>
      <xdr:rowOff>0</xdr:rowOff>
    </xdr:to>
    <mc:AlternateContent xmlns:mc="http://schemas.openxmlformats.org/markup-compatibility/2006">
      <mc:Choice xmlns:cx1="http://schemas.microsoft.com/office/drawing/2015/9/8/chartex" Requires="cx1">
        <xdr:graphicFrame macro="">
          <xdr:nvGraphicFramePr>
            <xdr:cNvPr id="3" name="Graphique 2">
              <a:extLst>
                <a:ext uri="{FF2B5EF4-FFF2-40B4-BE49-F238E27FC236}">
                  <a16:creationId xmlns:a16="http://schemas.microsoft.com/office/drawing/2014/main" id="{635EA168-DC1A-E5A1-F382-AD4C0D5D3F8A}"/>
                </a:ext>
                <a:ext uri="{147F2762-F138-4A5C-976F-8EAC2B608ADB}">
                  <a16:predDERef xmlns:a16="http://schemas.microsoft.com/office/drawing/2014/main" pred="{2B1B2B91-5535-EC3E-786B-82549F6D40B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3</xdr:col>
      <xdr:colOff>1008062</xdr:colOff>
      <xdr:row>125</xdr:row>
      <xdr:rowOff>135660</xdr:rowOff>
    </xdr:from>
    <xdr:to>
      <xdr:col>19</xdr:col>
      <xdr:colOff>332219</xdr:colOff>
      <xdr:row>167</xdr:row>
      <xdr:rowOff>132484</xdr:rowOff>
    </xdr:to>
    <mc:AlternateContent xmlns:mc="http://schemas.openxmlformats.org/markup-compatibility/2006">
      <mc:Choice xmlns:cx1="http://schemas.microsoft.com/office/drawing/2015/9/8/chartex" Requires="cx1">
        <xdr:graphicFrame macro="">
          <xdr:nvGraphicFramePr>
            <xdr:cNvPr id="4" name="Graphique 3">
              <a:extLst>
                <a:ext uri="{FF2B5EF4-FFF2-40B4-BE49-F238E27FC236}">
                  <a16:creationId xmlns:a16="http://schemas.microsoft.com/office/drawing/2014/main" id="{F84BB2B1-103A-0930-4AA8-08EF6BE30C15}"/>
                </a:ext>
                <a:ext uri="{147F2762-F138-4A5C-976F-8EAC2B608ADB}">
                  <a16:predDERef xmlns:a16="http://schemas.microsoft.com/office/drawing/2014/main" pred="{635EA168-DC1A-E5A1-F382-AD4C0D5D3F8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7</xdr:col>
      <xdr:colOff>446199</xdr:colOff>
      <xdr:row>1</xdr:row>
      <xdr:rowOff>59017</xdr:rowOff>
    </xdr:from>
    <xdr:to>
      <xdr:col>13</xdr:col>
      <xdr:colOff>446199</xdr:colOff>
      <xdr:row>17</xdr:row>
      <xdr:rowOff>747</xdr:rowOff>
    </xdr:to>
    <xdr:graphicFrame macro="">
      <xdr:nvGraphicFramePr>
        <xdr:cNvPr id="2" name="Graphique 1">
          <a:extLst>
            <a:ext uri="{FF2B5EF4-FFF2-40B4-BE49-F238E27FC236}">
              <a16:creationId xmlns:a16="http://schemas.microsoft.com/office/drawing/2014/main" id="{7B699C0F-FA1D-51CF-9C19-26F024ED7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450273</xdr:colOff>
      <xdr:row>10</xdr:row>
      <xdr:rowOff>129310</xdr:rowOff>
    </xdr:from>
    <xdr:to>
      <xdr:col>4</xdr:col>
      <xdr:colOff>126999</xdr:colOff>
      <xdr:row>18</xdr:row>
      <xdr:rowOff>173181</xdr:rowOff>
    </xdr:to>
    <xdr:graphicFrame macro="">
      <xdr:nvGraphicFramePr>
        <xdr:cNvPr id="4" name="Graphique 3">
          <a:extLst>
            <a:ext uri="{FF2B5EF4-FFF2-40B4-BE49-F238E27FC236}">
              <a16:creationId xmlns:a16="http://schemas.microsoft.com/office/drawing/2014/main" id="{4183A295-C424-DD92-2CCF-CB9583BAF248}"/>
            </a:ext>
            <a:ext uri="{147F2762-F138-4A5C-976F-8EAC2B608ADB}">
              <a16:predDERef xmlns:a16="http://schemas.microsoft.com/office/drawing/2014/main" pred="{5C6F689F-AC65-ABD8-54AE-38A6177AA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23</xdr:row>
      <xdr:rowOff>0</xdr:rowOff>
    </xdr:from>
    <xdr:to>
      <xdr:col>8</xdr:col>
      <xdr:colOff>714375</xdr:colOff>
      <xdr:row>37</xdr:row>
      <xdr:rowOff>76200</xdr:rowOff>
    </xdr:to>
    <mc:AlternateContent xmlns:mc="http://schemas.openxmlformats.org/markup-compatibility/2006">
      <mc:Choice xmlns:cx1="http://schemas.microsoft.com/office/drawing/2015/9/8/chartex" Requires="cx1">
        <xdr:graphicFrame macro="">
          <xdr:nvGraphicFramePr>
            <xdr:cNvPr id="5" name="Graphique 4">
              <a:extLst>
                <a:ext uri="{FF2B5EF4-FFF2-40B4-BE49-F238E27FC236}">
                  <a16:creationId xmlns:a16="http://schemas.microsoft.com/office/drawing/2014/main" id="{667B1D83-FE13-E616-746E-B0F9F0D03610}"/>
                </a:ext>
                <a:ext uri="{147F2762-F138-4A5C-976F-8EAC2B608ADB}">
                  <a16:predDERef xmlns:a16="http://schemas.microsoft.com/office/drawing/2014/main" pred="{4183A295-C424-DD92-2CCF-CB9583BAF24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103438</xdr:colOff>
      <xdr:row>16</xdr:row>
      <xdr:rowOff>16711</xdr:rowOff>
    </xdr:from>
    <xdr:to>
      <xdr:col>6</xdr:col>
      <xdr:colOff>406965</xdr:colOff>
      <xdr:row>21</xdr:row>
      <xdr:rowOff>33421</xdr:rowOff>
    </xdr:to>
    <xdr:sp macro="" textlink="">
      <xdr:nvSpPr>
        <xdr:cNvPr id="248" name="ZoneTexte 1">
          <a:extLst>
            <a:ext uri="{FF2B5EF4-FFF2-40B4-BE49-F238E27FC236}">
              <a16:creationId xmlns:a16="http://schemas.microsoft.com/office/drawing/2014/main" id="{95243F2B-1015-48C7-A449-84ACF5F3A8DE}"/>
            </a:ext>
          </a:extLst>
        </xdr:cNvPr>
        <xdr:cNvSpPr txBox="1"/>
      </xdr:nvSpPr>
      <xdr:spPr>
        <a:xfrm>
          <a:off x="103438" y="4812632"/>
          <a:ext cx="7054580" cy="9357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kern="1200"/>
            <a:t>Filling Notice</a:t>
          </a:r>
        </a:p>
        <a:p>
          <a:r>
            <a:rPr lang="fr-FR" sz="1400" b="0">
              <a:solidFill>
                <a:sysClr val="windowText" lastClr="000000"/>
              </a:solidFill>
              <a:effectLst/>
              <a:latin typeface="+mn-lt"/>
              <a:ea typeface="+mn-ea"/>
              <a:cs typeface="+mn-cs"/>
            </a:rPr>
            <a:t>Change the ID of the NIST control you</a:t>
          </a:r>
          <a:r>
            <a:rPr lang="fr-FR" sz="1400" b="0" baseline="0">
              <a:solidFill>
                <a:sysClr val="windowText" lastClr="000000"/>
              </a:solidFill>
              <a:effectLst/>
              <a:latin typeface="+mn-lt"/>
              <a:ea typeface="+mn-ea"/>
              <a:cs typeface="+mn-cs"/>
            </a:rPr>
            <a:t> want to focus on, in the top cell.</a:t>
          </a:r>
        </a:p>
        <a:p>
          <a:r>
            <a:rPr lang="fr-FR" sz="1400" b="0" baseline="0">
              <a:solidFill>
                <a:sysClr val="windowText" lastClr="000000"/>
              </a:solidFill>
              <a:effectLst/>
              <a:latin typeface="+mn-lt"/>
              <a:ea typeface="+mn-ea"/>
              <a:cs typeface="+mn-cs"/>
            </a:rPr>
            <a:t>The related emissions will fill in automatically.</a:t>
          </a:r>
        </a:p>
        <a:p>
          <a:r>
            <a:rPr lang="fr-FR" sz="1400" b="0" baseline="0">
              <a:solidFill>
                <a:sysClr val="windowText" lastClr="000000"/>
              </a:solidFill>
              <a:effectLst/>
              <a:latin typeface="+mn-lt"/>
              <a:ea typeface="+mn-ea"/>
              <a:cs typeface="+mn-cs"/>
            </a:rPr>
            <a:t>You can then identify actions to reduce the emissions linked to this control.</a:t>
          </a:r>
          <a:endParaRPr lang="fr-FR" sz="1400" b="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place.sharepoint.com/sites/WICCYBERSUSTAINABILITY/Documents%20partages/07%20-%20Methodo%20v2/V2.0/Template%20EN%20v1.9%20-%20Cybersecurity%20Data%20Collection.xlsx" TargetMode="External"/><Relationship Id="rId1" Type="http://schemas.openxmlformats.org/officeDocument/2006/relationships/externalLinkPath" Target="Template%20EN%20v1.9%20-%20Cybersecurity%20Data%20Coll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 Methodology Presentation"/>
      <sheetName val="0.1 READ ME"/>
      <sheetName val="1.0 Mapping org &amp; Follow up"/>
      <sheetName val="1.1 Staff Location"/>
      <sheetName val="1.2 DC Map"/>
      <sheetName val="1.3 Devices"/>
      <sheetName val="1.4 Network"/>
      <sheetName val="1.5 Servers on premise"/>
      <sheetName val="1.6 Cyber solutions"/>
      <sheetName val="1.7 External services"/>
      <sheetName val="1.8 Travel"/>
      <sheetName val="2.1 Mapping Devices"/>
      <sheetName val="2.2 Mapping Network"/>
      <sheetName val="2.3 Mapping Servers on premise"/>
      <sheetName val="2.4 Mapping Cyber solutions"/>
      <sheetName val="2.5 Mapping External services"/>
      <sheetName val="2.6 Mapping Travel"/>
      <sheetName val="3.0 Assumptions"/>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VALLÉE Nicolas" id="{D885495E-6A0C-43A9-A2A8-28FA99CC3AAD}" userId="S::nicolas.vallee@wavestone.com::66031bbb-5996-48b1-9fcb-f766957da8f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8AC9A2C-398C-4B96-BB40-CF62CDCF5EF7}" name="Referential_NIST_Topic" displayName="Referential_NIST_Topic" ref="A2:A16" totalsRowShown="0" headerRowDxfId="692" headerRowBorderDxfId="690" tableBorderDxfId="691">
  <autoFilter ref="A2:A16" xr:uid="{68AC9A2C-398C-4B96-BB40-CF62CDCF5EF7}"/>
  <tableColumns count="1">
    <tableColumn id="1" xr3:uid="{9D116E99-264B-461E-9A22-FEC282F9002F}" name="Topics"/>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E157BEE-C8E7-42F6-85F5-A4818D8FCC2A}" name="Referential_NIST_Control" displayName="Referential_NIST_Control" ref="A19:C89" totalsRowShown="0" headerRowDxfId="689" headerRowBorderDxfId="687" tableBorderDxfId="688" totalsRowBorderDxfId="686">
  <autoFilter ref="A19:C89" xr:uid="{3E157BEE-C8E7-42F6-85F5-A4818D8FCC2A}"/>
  <tableColumns count="3">
    <tableColumn id="1" xr3:uid="{69D57010-3A77-49AE-8ED8-A50A06298B76}" name="NIST Control" dataDxfId="685"/>
    <tableColumn id="2" xr3:uid="{2D3C1FF6-8D08-47D8-AA37-ECDC47C627E7}" name="NIST Topic" dataDxfId="684"/>
    <tableColumn id="3" xr3:uid="{8E01ACC7-C627-4D1E-A3AC-629931F5496B}" name="Simplified requierment" dataDxfId="68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B2B574-A6B4-4B69-A6B1-DC8E2B760EB6}" name="Staff_Location_Global" displayName="Staff_Location_Global" ref="B17:D20" totalsRowShown="0" headerRowDxfId="680" headerRowBorderDxfId="678" tableBorderDxfId="679" totalsRowBorderDxfId="677">
  <autoFilter ref="B17:D20" xr:uid="{8DB2B574-A6B4-4B69-A6B1-DC8E2B760EB6}"/>
  <tableColumns count="3">
    <tableColumn id="1" xr3:uid="{E3596E54-AC49-4A28-B86B-CEC182987E35}" name="Country" dataDxfId="676"/>
    <tableColumn id="2" xr3:uid="{03DE69C9-A943-4BF3-B848-F3A4D4965781}" name="% or number of internals in this country" dataDxfId="675"/>
    <tableColumn id="3" xr3:uid="{E0AE74BC-423B-4CA3-A54E-4FDE6F6C3D9C}" name="Carbon Intensity of the Electricity Mix per Geographical area (kgCO2e/kWH)" dataDxfId="674">
      <calculatedColumnFormula>IFERROR(VLOOKUP(Staff_Location_Global[[#This Row],[Country]],Mix_Energétique[],2,FALSE),0)</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50E0E5E-C9CA-4A6A-91CA-D9D14CBFDA33}" name="Staff_Location_Cyber" displayName="Staff_Location_Cyber" ref="B26:D30" totalsRowShown="0" headerRowDxfId="673" headerRowBorderDxfId="671" tableBorderDxfId="672" totalsRowBorderDxfId="670">
  <autoFilter ref="B26:D30" xr:uid="{B50E0E5E-C9CA-4A6A-91CA-D9D14CBFDA33}"/>
  <tableColumns count="3">
    <tableColumn id="1" xr3:uid="{6D69FDFA-32AB-455B-8CEE-AB2D81C49E4E}" name="Country" dataDxfId="669"/>
    <tableColumn id="2" xr3:uid="{B7F0D7C8-BA54-4725-847A-585BC99E7200}" name="% or number of internals in this country" dataDxfId="668"/>
    <tableColumn id="3" xr3:uid="{47020B3C-90C6-4140-AEED-9FC2D0D8209C}" name="Carbon Intensity of the Electricity Mix per Geographical area (kgCO2e/kWH)" dataDxfId="667">
      <calculatedColumnFormula>IFERROR(VLOOKUP(Staff_Location_Cyber[[#This Row],[Country]],Mix_Energétique[],2,FALSE),0)</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8FD372-162A-4006-ADDF-9863B233DC4E}" name="Devices_Workstation_Laptop" displayName="Devices_Workstation_Laptop" ref="B14:K17" totalsRowShown="0" headerRowDxfId="663" headerRowBorderDxfId="661" tableBorderDxfId="662">
  <autoFilter ref="B14:K17" xr:uid="{D38FD372-162A-4006-ADDF-9863B233DC4E}"/>
  <tableColumns count="10">
    <tableColumn id="3" xr3:uid="{AC4680A4-A730-47F7-965C-7DC4E2AA1004}" name="Scope" dataDxfId="660"/>
    <tableColumn id="4" xr3:uid="{DC066833-C057-465D-AAAD-379A4568A529}" name="Quantity " dataDxfId="659"/>
    <tableColumn id="5" xr3:uid="{FAD0A925-7BCE-4016-BE53-1FDA8BB56573}" name="Lifespan" dataDxfId="658"/>
    <tableColumn id="2" xr3:uid="{3BE5FD39-DA33-46BF-A0E1-6EB28C023AC0}" name="Energetic mix (kgCO2e/kWh)" dataDxfId="657"/>
    <tableColumn id="8" xr3:uid="{49D9E80F-DEEC-4E52-A6AD-0CD07C455F4A}" name="Emission Factor" dataDxfId="656">
      <calculatedColumnFormula>'3.2 Emission Factors'!$C$8</calculatedColumnFormula>
    </tableColumn>
    <tableColumn id="14" xr3:uid="{20293B04-7A50-4CE6-9FAE-8860184A883C}" name="Electric consumption (kWh/year/unit)" dataDxfId="655">
      <calculatedColumnFormula>VLOOKUP(Devices_Workstation_Laptop[[#This Row],[Emission Factor]],Tableau3[[Name]:[Consumption (kWh/year)]],6,FALSE)</calculatedColumnFormula>
    </tableColumn>
    <tableColumn id="15" xr3:uid="{CF1F13FE-DBAB-469F-8D9B-222C6C475874}" name="Manufacturing (kgCO2e/unit)" dataDxfId="654">
      <calculatedColumnFormula>VLOOKUP(Devices_Workstation_Laptop[[#This Row],[Emission Factor]],Tableau3[[Name]:[Consumption (kWh/year)]],5,FALSE)</calculatedColumnFormula>
    </tableColumn>
    <tableColumn id="9" xr3:uid="{DAB7512A-9E1D-4868-97F7-44BB80172A74}" name="Scope 2 (kgC02e)" dataDxfId="653">
      <calculatedColumnFormula>IFERROR(Devices_Workstation_Laptop[[#This Row],[Electric consumption (kWh/year/unit)]]*Devices_Workstation_Laptop[[#This Row],[Energetic mix (kgCO2e/kWh)]]*Devices_Workstation_Laptop[[#This Row],[Quantity ]],0)</calculatedColumnFormula>
    </tableColumn>
    <tableColumn id="10" xr3:uid="{EBDAFC02-5EEE-40D7-B227-9CAB829F2390}" name="Scope 3 (kgC02e)" dataDxfId="652">
      <calculatedColumnFormula>Devices_Workstation_Laptop[[#This Row],[Manufacturing (kgCO2e/unit)]]*Devices_Workstation_Laptop[[#This Row],[Quantity ]]/Devices_Workstation_Laptop[[#This Row],[Lifespan]]</calculatedColumnFormula>
    </tableColumn>
    <tableColumn id="11" xr3:uid="{C0997D39-E502-42B7-B7DD-2B9100234AA2}" name="Total emissions (kgC02e)" dataDxfId="651">
      <calculatedColumnFormula>Devices_Workstation_Laptop[[#This Row],[Scope 2 (kgC02e)]]+Devices_Workstation_Laptop[[#This Row],[Scope 3 (kgC02e)]]</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D056E13-1E48-45A4-9BDC-9ABC39D23DC6}" name="Tableau43940" displayName="Tableau43940" ref="B29:K30" totalsRowShown="0" headerRowDxfId="650" headerRowBorderDxfId="648" tableBorderDxfId="649">
  <autoFilter ref="B29:K30" xr:uid="{DD056E13-1E48-45A4-9BDC-9ABC39D23DC6}"/>
  <tableColumns count="10">
    <tableColumn id="3" xr3:uid="{78CF968C-9682-4581-B75E-022A69E2F4B5}" name="Scope" dataDxfId="647"/>
    <tableColumn id="4" xr3:uid="{63A54751-F348-4860-83DD-68A9BB3ACC1D}" name="Quantity " dataDxfId="646"/>
    <tableColumn id="5" xr3:uid="{E25B78AD-2C9A-4738-9A31-78618715F0D9}" name="Lifespan" dataDxfId="645"/>
    <tableColumn id="2" xr3:uid="{0E01270E-3E4A-40E1-A5F9-6ACC537304DD}" name="Energetic mix (kgCO2e/kWh)" dataDxfId="644">
      <calculatedColumnFormula>CI_Cyber_Staff</calculatedColumnFormula>
    </tableColumn>
    <tableColumn id="8" xr3:uid="{2E6887BE-ED64-4E45-B07B-C5ED55B80731}" name="Emission Factor" dataDxfId="643">
      <calculatedColumnFormula array="1">'3.2 Emission Factors'!FE_Ecrans_bureautiques</calculatedColumnFormula>
    </tableColumn>
    <tableColumn id="9" xr3:uid="{ECE1E058-CD94-4D24-AE0C-DF9926D96E3D}" name="Electric consumption (kWh/year/unit)" dataDxfId="642">
      <calculatedColumnFormula>VLOOKUP(Tableau43940[[#This Row],[Emission Factor]],Tableau27[[Name]:[Consumption (kWh/year)]],6)</calculatedColumnFormula>
    </tableColumn>
    <tableColumn id="10" xr3:uid="{6D580571-2759-4358-A821-F0FCCAB52A14}" name="Manufacturing (kgCO2e/unit)" dataDxfId="641">
      <calculatedColumnFormula>VLOOKUP(Tableau43940[[#This Row],[Emission Factor]],Tableau27[[Name]:[Consumption (kWh/year)]],5)</calculatedColumnFormula>
    </tableColumn>
    <tableColumn id="11" xr3:uid="{129C5B6C-0AC4-4245-84A8-E98768D3D86F}" name="Scope 2 (kgC02e)" dataDxfId="640">
      <calculatedColumnFormula>Tableau43940[[#This Row],[Electric consumption (kWh/year/unit)]]*Tableau43940[[#This Row],[Energetic mix (kgCO2e/kWh)]]*Tableau43940[[#This Row],[Quantity ]]</calculatedColumnFormula>
    </tableColumn>
    <tableColumn id="13" xr3:uid="{002BCFA6-43CC-472A-BE10-E2AB9C0756DB}" name="Scope 3 (kgC02e)" dataDxfId="639">
      <calculatedColumnFormula>Tableau43940[[#This Row],[Manufacturing (kgCO2e/unit)]]*Tableau43940[[#This Row],[Quantity ]]/Tableau43940[[#This Row],[Lifespan]]</calculatedColumnFormula>
    </tableColumn>
    <tableColumn id="14" xr3:uid="{AB1DC54F-A4FF-4073-9CEC-F01AC5A758C7}" name="Total emissions (kgC02e)" dataDxfId="638">
      <calculatedColumnFormula>Tableau43940[[#This Row],[Scope 2 (kgC02e)]]+Tableau43940[[#This Row],[Scope 3 (kgC02e)]]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E4896F4-F1C7-449C-A474-76EF4CFC47B5}" name="Devices_Smartphones" displayName="Devices_Smartphones" ref="B35:K36" totalsRowShown="0" headerRowDxfId="637" headerRowBorderDxfId="635" tableBorderDxfId="636">
  <autoFilter ref="B35:K36" xr:uid="{3E4896F4-F1C7-449C-A474-76EF4CFC47B5}"/>
  <tableColumns count="10">
    <tableColumn id="3" xr3:uid="{4E91D5AC-E7F1-4E00-A67D-05365132D966}" name="Scope" dataDxfId="634"/>
    <tableColumn id="4" xr3:uid="{7449674D-E24B-4D24-97ED-B8DFCE445A25}" name="Quantity " dataDxfId="633"/>
    <tableColumn id="1" xr3:uid="{BBEFAF95-B64F-4EE2-89FD-0BC3AE30BAFC}" name="Lifespan" dataDxfId="632"/>
    <tableColumn id="2" xr3:uid="{75A2E243-1E1C-46E3-94C4-A6E5CD0E3E7E}" name="Energetic mix (kgCO2e/kWh)" dataDxfId="631">
      <calculatedColumnFormula>CI_Cyber_Staff</calculatedColumnFormula>
    </tableColumn>
    <tableColumn id="8" xr3:uid="{BDD61899-5101-4DD6-A3F2-94A9ED4B4A85}" name="Emission Factor" dataDxfId="630">
      <calculatedColumnFormula>'3.2 Emission Factors'!$C$27</calculatedColumnFormula>
    </tableColumn>
    <tableColumn id="9" xr3:uid="{CC271419-23EB-4855-9BDC-D79AE90ABBC4}" name="Electric consumption (kWh/year/unit)" dataDxfId="629">
      <calculatedColumnFormula>VLOOKUP(Devices_Smartphones[[#This Row],[Emission Factor]],Tableau25[[Name]:[Consumption (kWh/year)]],6,FALSE)</calculatedColumnFormula>
    </tableColumn>
    <tableColumn id="10" xr3:uid="{D483A104-01F1-4919-957C-3B4FCEFB401A}" name="Manufacturing (kgCO2e/year of usage/unit)" dataDxfId="628">
      <calculatedColumnFormula>VLOOKUP(Devices_Smartphones[[#This Row],[Emission Factor]],Tableau25[[Name]:[Consumption (kWh/year)]],5,FALSE)</calculatedColumnFormula>
    </tableColumn>
    <tableColumn id="11" xr3:uid="{6819D3D8-A622-4CB4-B41B-A5C514367E00}" name="Scope 2 (kgC02e)" dataDxfId="627">
      <calculatedColumnFormula>Devices_Smartphones[[#This Row],[Electric consumption (kWh/year/unit)]]*Devices_Smartphones[[#This Row],[Energetic mix (kgCO2e/kWh)]]*Devices_Smartphones[[#This Row],[Quantity ]]</calculatedColumnFormula>
    </tableColumn>
    <tableColumn id="13" xr3:uid="{22BF6618-E4D0-4585-9AF8-D1EB585D17E5}" name="Scope 3 (kgC02e)" dataDxfId="626">
      <calculatedColumnFormula>Devices_Smartphones[[#This Row],[Manufacturing (kgCO2e/year of usage/unit)]]*Devices_Smartphones[[#This Row],[Quantity ]]/Devices_Smartphones[[#This Row],[Lifespan]]</calculatedColumnFormula>
    </tableColumn>
    <tableColumn id="14" xr3:uid="{D56CF274-C6A6-429B-B609-70C183CB67EA}" name="Total emissions (kgC02e)" dataDxfId="625">
      <calculatedColumnFormula>Devices_Smartphones[[#This Row],[Scope 2 (kgC02e)]]+Devices_Smartphones[[#This Row],[Scope 3 (kgC02e)]]</calculatedColumnFormula>
    </tableColumn>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4117CA0-E362-47C3-9BE7-D44D5DC40A4B}" name="Devices_Workstation_Desktop" displayName="Devices_Workstation_Desktop" ref="B21:K24" totalsRowShown="0" headerRowDxfId="624" headerRowBorderDxfId="622" tableBorderDxfId="623">
  <autoFilter ref="B21:K24" xr:uid="{E4117CA0-E362-47C3-9BE7-D44D5DC40A4B}"/>
  <tableColumns count="10">
    <tableColumn id="3" xr3:uid="{528D0649-58BD-4E8D-85F7-965598281851}" name="Scope" dataDxfId="621"/>
    <tableColumn id="4" xr3:uid="{759F4C40-1EF1-460F-8833-9E0A4547D54F}" name="Quantity " dataDxfId="620"/>
    <tableColumn id="5" xr3:uid="{FF4D2DD3-AD33-4A44-BE2E-175EA9267F53}" name="Lifespan" dataDxfId="619"/>
    <tableColumn id="2" xr3:uid="{B84DE500-B07E-4329-A0E1-6D82A9269DD7}" name="Energetic mix (kgCO2e/kWh)" dataDxfId="618"/>
    <tableColumn id="8" xr3:uid="{185ED4FE-31B9-47BA-BD55-C7114BAB1528}" name="Emission Factor" dataDxfId="617">
      <calculatedColumnFormula>'3.2 Emission Factors'!$C$9</calculatedColumnFormula>
    </tableColumn>
    <tableColumn id="14" xr3:uid="{04E84036-D419-4028-8D79-BC87D6C617BD}" name="Electric consumption (kWh/year/unit)" dataDxfId="616">
      <calculatedColumnFormula>VLOOKUP(Devices_Workstation_Desktop[[#This Row],[Emission Factor]],Tableau3[[Name]:[Consumption (kWh/year)]],6,FALSE)</calculatedColumnFormula>
    </tableColumn>
    <tableColumn id="15" xr3:uid="{85A6D4D6-4CCC-419A-B5AB-AFE180ED997D}" name="Manufacturing (kgCO2e/unit)" dataDxfId="615">
      <calculatedColumnFormula>VLOOKUP(Devices_Workstation_Desktop[[#This Row],[Emission Factor]],Tableau3[[Name]:[Consumption (kWh/year)]],5,FALSE)</calculatedColumnFormula>
    </tableColumn>
    <tableColumn id="9" xr3:uid="{4133C5B0-4CFE-44CC-A20D-62C299F560D2}" name="Scope 2 (kgC02e)" dataDxfId="614">
      <calculatedColumnFormula>IFERROR(Devices_Workstation_Desktop[[#This Row],[Electric consumption (kWh/year/unit)]]*Devices_Workstation_Desktop[[#This Row],[Energetic mix (kgCO2e/kWh)]]*Devices_Workstation_Desktop[[#This Row],[Quantity ]],0)</calculatedColumnFormula>
    </tableColumn>
    <tableColumn id="10" xr3:uid="{79B68C81-64A3-4499-A39B-3FECE3088417}" name="Scope 3 (kgC02e)" dataDxfId="613">
      <calculatedColumnFormula>Devices_Workstation_Desktop[[#This Row],[Manufacturing (kgCO2e/unit)]]*Devices_Workstation_Desktop[[#This Row],[Quantity ]]/Devices_Workstation_Desktop[[#This Row],[Lifespan]]</calculatedColumnFormula>
    </tableColumn>
    <tableColumn id="11" xr3:uid="{514ADC51-EE5F-4DDD-8C40-28F7CBB058CB}" name="Total emissions (kgC02e)" dataDxfId="612">
      <calculatedColumnFormula>Devices_Workstation_Desktop[[#This Row],[Scope 2 (kgC02e)]]+Devices_Workstation_Desktop[[#This Row],[Scope 3 (kgC02e)]]</calculatedColumnFormula>
    </tableColumn>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9D93CCB7-0CBC-4D17-BF5C-CDA28A9C4028}" name="Network_Proxy" displayName="Network_Proxy" ref="B14:M17" totalsRowShown="0" headerRowDxfId="605" dataDxfId="604" headerRowBorderDxfId="602" tableBorderDxfId="603">
  <autoFilter ref="B14:M17" xr:uid="{D38FD372-162A-4006-ADDF-9863B233DC4E}"/>
  <tableColumns count="12">
    <tableColumn id="6" xr3:uid="{479A6BCE-ED6A-498D-AB48-80954159B3E5}" name="DC ID" dataDxfId="601"/>
    <tableColumn id="14" xr3:uid="{D4787926-C0BD-469F-903B-6B210FA5E5E3}" name="PUE" dataDxfId="600"/>
    <tableColumn id="4" xr3:uid="{7A4802C6-8751-4F4B-95F3-51B998AB5F11}" name="Quantity " dataDxfId="599"/>
    <tableColumn id="5" xr3:uid="{C4DF0C9C-9668-48AD-8FEC-DCD506E916FC}" name="Lifespan" dataDxfId="598"/>
    <tableColumn id="1" xr3:uid="{EEBBB898-EFE9-406D-9987-856263E26F10}" name="Location" dataDxfId="597"/>
    <tableColumn id="2" xr3:uid="{B4F86CAD-326A-4491-AC6B-56DBF972A5EC}" name="Energetic mix (kgCO2e/kWh)" dataDxfId="596">
      <calculatedColumnFormula>IFERROR(VLOOKUP(Network_Proxy[[#This Row],[Location]],Mix_Energétique[],2,FALSE),0)</calculatedColumnFormula>
    </tableColumn>
    <tableColumn id="8" xr3:uid="{F13A0600-0764-43CA-8179-0AC632E4FACB}" name="Emission Factor" dataDxfId="595">
      <calculatedColumnFormula>'3.2 Emission Factors'!FE_Firewalls</calculatedColumnFormula>
    </tableColumn>
    <tableColumn id="9" xr3:uid="{89A06A9A-0FC6-4AB7-9D29-3F1989D00075}" name="Electric consumption (kWh/year/unit)" dataDxfId="594">
      <calculatedColumnFormula>VLOOKUP(Network_Proxy[[#This Row],[Emission Factor]],Tableau31[[Name]:[Consumption (kWh/year)]],6,FALSE)</calculatedColumnFormula>
    </tableColumn>
    <tableColumn id="10" xr3:uid="{6813464F-CC29-49CB-8799-D54A2F093822}" name="Manufacturing (kgCO2e/unit)" dataDxfId="593">
      <calculatedColumnFormula>VLOOKUP(Network_Proxy[[#This Row],[Emission Factor]],Tableau31[[Name]:[Consumption (kWh/year)]],5,FALSE)</calculatedColumnFormula>
    </tableColumn>
    <tableColumn id="11" xr3:uid="{AF50BF63-AA86-4688-BA19-C7F628A27BC0}" name="Scope 2 (kgC02e)" dataDxfId="592">
      <calculatedColumnFormula>Network_Proxy[[#This Row],[Electric consumption (kWh/year/unit)]]*Network_Proxy[[#This Row],[Energetic mix (kgCO2e/kWh)]]*Network_Proxy[[#This Row],[Quantity ]]*Network_Proxy[[#This Row],[PUE]]</calculatedColumnFormula>
    </tableColumn>
    <tableColumn id="15" xr3:uid="{D8E2D94A-0C52-459E-A420-39053A660CFF}" name="Scope 3 (kgC02e)" dataDxfId="591">
      <calculatedColumnFormula>IFERROR(Network_Proxy[[#This Row],[Manufacturing (kgCO2e/unit)]]*Network_Proxy[[#This Row],[Quantity ]]/Network_Proxy[[#This Row],[Lifespan]],0)</calculatedColumnFormula>
    </tableColumn>
    <tableColumn id="16" xr3:uid="{F09FC8DB-DF5A-41C1-955B-451B86CAC660}" name="Total emissions (kgC02e)" dataDxfId="590">
      <calculatedColumnFormula>Network_Proxy[[#This Row],[Scope 2 (kgC02e)]]+Network_Proxy[[#This Row],[Scope 3 (kgC02e)]]</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44FA12-DE4C-4BA7-A25D-6B35C4163F05}" name="Network_Firewall" displayName="Network_Firewall" ref="B23:M26" totalsRowShown="0" headerRowDxfId="589" dataDxfId="588" headerRowBorderDxfId="586" tableBorderDxfId="587">
  <autoFilter ref="B23:M26" xr:uid="{8244FA12-DE4C-4BA7-A25D-6B35C4163F05}"/>
  <tableColumns count="12">
    <tableColumn id="6" xr3:uid="{C6B281CF-87C2-4B3A-A1B5-3B8FA23F11DA}" name="DC ID" dataDxfId="585"/>
    <tableColumn id="14" xr3:uid="{ACC61F7A-747A-4EA1-B94B-125183D9E85A}" name="PUE" dataDxfId="584"/>
    <tableColumn id="4" xr3:uid="{B1F57ED5-50FE-4296-A4A2-7845C5275618}" name="Quantity " dataDxfId="583"/>
    <tableColumn id="5" xr3:uid="{E924B15B-0FA8-4BDF-983F-7ACE50FCD9E3}" name="Lifespan" dataDxfId="582"/>
    <tableColumn id="1" xr3:uid="{9971763C-9DE2-4E9D-9383-1FDD75BD70DD}" name="Location" dataDxfId="581"/>
    <tableColumn id="2" xr3:uid="{242216FE-9EA3-4227-A0CC-365DD4A3F23F}" name="Energetic mix (kgCO2e/kWh)" dataDxfId="580">
      <calculatedColumnFormula>IFERROR(VLOOKUP(Network_Firewall[[#This Row],[Location]],Mix_Energétique[],2,FALSE),0)</calculatedColumnFormula>
    </tableColumn>
    <tableColumn id="8" xr3:uid="{FA7B16D5-2CC7-4F97-A56F-B787B00121C2}" name="Emission Factor" dataDxfId="579">
      <calculatedColumnFormula>'3.2 Emission Factors'!FE_Firewalls</calculatedColumnFormula>
    </tableColumn>
    <tableColumn id="9" xr3:uid="{7F441C2F-40C6-4E88-984D-A248A2B15CF2}" name="Electric consumption (kWh/year/unit)" dataDxfId="578">
      <calculatedColumnFormula>VLOOKUP(Network_Firewall[[#This Row],[Emission Factor]],Tableau31[[Name]:[Consumption (kWh/year)]],6,FALSE)</calculatedColumnFormula>
    </tableColumn>
    <tableColumn id="10" xr3:uid="{CC980F95-26CB-4881-8646-AA98B1D1099F}" name="Manufacturing (kgCO2e/unit)" dataDxfId="577">
      <calculatedColumnFormula>VLOOKUP(Network_Firewall[[#This Row],[Emission Factor]],Tableau31[[Name]:[Consumption (kWh/year)]],5,FALSE)</calculatedColumnFormula>
    </tableColumn>
    <tableColumn id="11" xr3:uid="{FF2C17EE-8C80-4E7C-9FEF-821FF20D324A}" name="Scope 2 (kgC02e)" dataDxfId="576">
      <calculatedColumnFormula>Network_Firewall[[#This Row],[Electric consumption (kWh/year/unit)]]*Network_Firewall[[#This Row],[Energetic mix (kgCO2e/kWh)]]*Network_Firewall[[#This Row],[Quantity ]]*Network_Firewall[[#This Row],[PUE]]</calculatedColumnFormula>
    </tableColumn>
    <tableColumn id="15" xr3:uid="{A8A61A58-16F2-411D-865F-4CB68C6C302F}" name="Scope 3 (kgC02e)" dataDxfId="575">
      <calculatedColumnFormula>IFERROR(Network_Firewall[[#This Row],[Manufacturing (kgCO2e/unit)]]*Network_Firewall[[#This Row],[Quantity ]]/Network_Firewall[[#This Row],[Lifespan]],0)</calculatedColumnFormula>
    </tableColumn>
    <tableColumn id="16" xr3:uid="{C42F91DC-B0D5-4039-8160-2BF227D784A4}" name="Total emissions (kgC02e)" dataDxfId="574">
      <calculatedColumnFormula>Network_Firewall[[#This Row],[Scope 2 (kgC02e)]]+Network_Firewall[[#This Row],[Scope 3 (kgC02e)]]</calculatedColumnFormula>
    </tableColumn>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9C8567A-F56C-4E52-94DE-B4FA0639744A}" name="Network_IPS_IDS" displayName="Network_IPS_IDS" ref="B32:M35" totalsRowShown="0" headerRowDxfId="573" dataDxfId="572" headerRowBorderDxfId="570" tableBorderDxfId="571">
  <autoFilter ref="B32:M35" xr:uid="{69C8567A-F56C-4E52-94DE-B4FA0639744A}"/>
  <tableColumns count="12">
    <tableColumn id="6" xr3:uid="{EDBF23F4-1C90-46EC-86B3-66F79F571C5C}" name="DC ID" dataDxfId="569"/>
    <tableColumn id="14" xr3:uid="{105F422D-1C4A-4A1B-BDDB-E6BB1539A28D}" name="PUE" dataDxfId="568"/>
    <tableColumn id="4" xr3:uid="{FF0DBC54-461D-4E6F-87F5-0B1272729A27}" name="Quantity " dataDxfId="567"/>
    <tableColumn id="5" xr3:uid="{6F171FE5-1078-4B84-BDEB-FFB9AB7C863A}" name="Lifespan" dataDxfId="566"/>
    <tableColumn id="1" xr3:uid="{815584AA-D625-4EAF-885D-859D94998437}" name="Location" dataDxfId="565"/>
    <tableColumn id="2" xr3:uid="{2D0355BF-C4DA-46DB-BDB7-B9E3AC46F1DC}" name="Energetic mix (kgCO2e/kWh)" dataDxfId="564">
      <calculatedColumnFormula>IFERROR(VLOOKUP(Network_IPS_IDS[[#This Row],[Location]],Mix_Energétique[],2,FALSE),0)</calculatedColumnFormula>
    </tableColumn>
    <tableColumn id="8" xr3:uid="{801D7EC2-DE72-4641-B763-A5C472A105F9}" name="Emission Factor" dataDxfId="563">
      <calculatedColumnFormula>'3.2 Emission Factors'!FE_Firewalls</calculatedColumnFormula>
    </tableColumn>
    <tableColumn id="9" xr3:uid="{B8C62FA4-9653-461C-AD40-61A84E03F395}" name="Electric consumption (kWh/year/unit)" dataDxfId="562">
      <calculatedColumnFormula>VLOOKUP(Network_IPS_IDS[[#This Row],[Emission Factor]],Tableau31[[Name]:[Consumption (kWh/year)]],6,FALSE)</calculatedColumnFormula>
    </tableColumn>
    <tableColumn id="10" xr3:uid="{4EA1529E-6B6A-4021-9396-0FE3152B5028}" name="Manufacturing (kgCO2e/unit)" dataDxfId="561">
      <calculatedColumnFormula>VLOOKUP(Network_IPS_IDS[[#This Row],[Emission Factor]],Tableau31[[Name]:[Consumption (kWh/year)]],5,FALSE)</calculatedColumnFormula>
    </tableColumn>
    <tableColumn id="11" xr3:uid="{850EE63D-7308-4C33-B0D8-1AD37C1FB945}" name="Scope 2 (kgC02e)" dataDxfId="560">
      <calculatedColumnFormula>Network_IPS_IDS[[#This Row],[Electric consumption (kWh/year/unit)]]*Network_IPS_IDS[[#This Row],[Energetic mix (kgCO2e/kWh)]]*Network_IPS_IDS[[#This Row],[Quantity ]]*Network_IPS_IDS[[#This Row],[PUE]]</calculatedColumnFormula>
    </tableColumn>
    <tableColumn id="15" xr3:uid="{7761E846-FBCB-4CAA-B208-4C6007A8CC8D}" name="Scope 3 (kgC02e)" dataDxfId="559">
      <calculatedColumnFormula>IFERROR(Network_IPS_IDS[[#This Row],[Manufacturing (kgCO2e/unit)]]*Network_IPS_IDS[[#This Row],[Quantity ]]/Network_IPS_IDS[[#This Row],[Lifespan]],0)</calculatedColumnFormula>
    </tableColumn>
    <tableColumn id="16" xr3:uid="{DF74D51C-D559-4847-AFCD-2B10D958C999}" name="Total emissions (kgC02e)" dataDxfId="558">
      <calculatedColumnFormula>Network_IPS_IDS[[#This Row],[Scope 2 (kgC02e)]]+Network_IPS_IDS[[#This Row],[Scope 3 (kgC02e)]]</calculatedColumnFormula>
    </tableColumn>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500B57F-BDAB-4A4A-8CFF-EB968238D321}" name="Servers_Backup" displayName="Servers_Backup" ref="B14:S25" totalsRowShown="0" headerRowDxfId="556" headerRowBorderDxfId="554" tableBorderDxfId="555">
  <autoFilter ref="B14:S25" xr:uid="{F500B57F-BDAB-4A4A-8CFF-EB968238D321}"/>
  <tableColumns count="18">
    <tableColumn id="17" xr3:uid="{45CEC39A-21AB-420C-96A0-904565F02585}" name="ID of data center" dataDxfId="553"/>
    <tableColumn id="1" xr3:uid="{1293CD36-9AD3-4BCD-B56F-D9F112B97725}" name="ID of servers" dataDxfId="552"/>
    <tableColumn id="4" xr3:uid="{86F2AED2-19B1-486C-932A-2C2B9E29F818}" name="Type of server (PROD,TEST)" dataDxfId="551"/>
    <tableColumn id="20" xr3:uid="{F22BD897-D92D-4DA4-B472-0A4B2C9142D5}" name="Cyber category" dataDxfId="550"/>
    <tableColumn id="21" xr3:uid="{23B41D85-CBE9-49D4-A327-134E965BCB6C}" name="Server lifespan" dataDxfId="549"/>
    <tableColumn id="2" xr3:uid="{7AED325A-1E29-4D58-91BF-ED2F83980701}" name="Server location " dataDxfId="548"/>
    <tableColumn id="3" xr3:uid="{9C512FF5-0254-423C-88E0-494F281F17F8}" name="PUE" dataDxfId="547"/>
    <tableColumn id="15" xr3:uid="{7F026B82-7E8C-4130-8481-CDE93CB4B423}" name="Physical servers (unit)" dataDxfId="546"/>
    <tableColumn id="5" xr3:uid="{B3BAEAF7-A60D-496A-8236-232F7D9FBF71}" name="Physical CPUs (unit)" dataDxfId="545"/>
    <tableColumn id="7" xr3:uid="{54C4742C-0ABE-4BC9-BBC3-B433804AB311}" name="RAM (GB)" dataDxfId="544"/>
    <tableColumn id="8" xr3:uid="{9BE5FA7E-5517-4A4D-BB04-FA6F85C60D9C}" name="HDD (unit)" dataDxfId="543"/>
    <tableColumn id="10" xr3:uid="{175719D0-88C7-4872-8CC2-B991B44CFB2E}" name="SSD (GB)" dataDxfId="542"/>
    <tableColumn id="22" xr3:uid="{A4D8C4E4-53BE-45C4-ACC3-4431BA5E1FB3}" name="Comment" dataDxfId="541"/>
    <tableColumn id="6" xr3:uid="{5351F761-4746-4E1D-8A8E-A1B835B6556C}" name="Energetic mix (kgCO2e / kWh)" dataDxfId="540">
      <calculatedColumnFormula>IFERROR(VLOOKUP(Servers_Backup[[#This Row],[Server location ]],Mix_Energétique[],2,FALSE),0)</calculatedColumnFormula>
    </tableColumn>
    <tableColumn id="16" xr3:uid="{A41BE6EA-FE21-4E28-8A87-D9741E09D772}" name="Electric consumption (kWh)" dataDxfId="539">
      <calculatedColumnFormula>Servers_Backup[[#This Row],[Physical CPUs (unit)]]*'3.2 Emission Factors'!$M$53*Servers_Backup[[#This Row],[PUE]]</calculatedColumnFormula>
    </tableColumn>
    <tableColumn id="14" xr3:uid="{6CD342AF-71DC-4353-BE6D-914EE33043DA}" name="Scope 2 (kgCO2e)" dataDxfId="538">
      <calculatedColumnFormula>Servers_Backup[[#This Row],[Energetic mix (kgCO2e / kWh)]]*Servers_Backup[[#This Row],[Electric consumption (kWh)]]</calculatedColumnFormula>
    </tableColumn>
    <tableColumn id="13" xr3:uid="{9FF0B220-A92B-42C8-9F3B-83643A5DE310}" name="Scope 3 (kgCO2e)" dataDxfId="537">
      <calculatedColumnFormula>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calculatedColumnFormula>
    </tableColumn>
    <tableColumn id="12" xr3:uid="{13E65602-2F17-4AC4-98CF-B7CA21C2E84A}" name="Total emissions (kgCO2e)" dataDxfId="536">
      <calculatedColumnFormula>Servers_Backup[[#This Row],[Scope 2 (kgCO2e)]]+Servers_Backup[[#This Row],[Scope 3 (kgCO2e)]]</calculatedColumnFormula>
    </tableColumn>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D46C675-C8F4-4C79-ABC5-2CA76ED13B4C}" name="Software_On_Premise" displayName="Software_On_Premise" ref="B14:V25" totalsRowShown="0" headerRowDxfId="531" dataDxfId="530" headerRowBorderDxfId="528" tableBorderDxfId="529">
  <autoFilter ref="B14:V25" xr:uid="{FA6E9567-4A2E-4274-A0CE-8347E41E1C08}"/>
  <tableColumns count="21">
    <tableColumn id="17" xr3:uid="{75198558-6CED-42CF-911E-2F2713069BA6}" name="ID of data center" dataDxfId="527"/>
    <tableColumn id="1" xr3:uid="{45D9F73D-D6E6-4CA2-A151-5E0E3B44509B}" name="ID of application" dataDxfId="526"/>
    <tableColumn id="11" xr3:uid="{376A9BE4-844B-461A-99E4-85C1BAF44C4F}" name="Name of application" dataDxfId="525"/>
    <tableColumn id="9" xr3:uid="{39528323-5FB2-4932-9047-32DF1C14137B}" name="Description of app" dataDxfId="524"/>
    <tableColumn id="21" xr3:uid="{784D5B1B-DF74-403D-90AB-D5BD7B75EFB7}" name="Server lifespan" dataDxfId="523"/>
    <tableColumn id="2" xr3:uid="{EAEC53B4-3DD0-45DA-AC4A-FE51CDF18465}" name="Server location " dataDxfId="522"/>
    <tableColumn id="3" xr3:uid="{E91CD4F8-913B-45C4-9CFE-5D516B0D6512}" name="PUE" dataDxfId="521"/>
    <tableColumn id="15" xr3:uid="{B1E5F29A-8B05-4646-8C1A-7FD703C578F7}" name="Physical servers (unit)" dataDxfId="520"/>
    <tableColumn id="4" xr3:uid="{5F3AC42A-88B9-4C06-8EEE-648E5505EA1F}" name="vCPU (unit)" dataDxfId="519"/>
    <tableColumn id="5" xr3:uid="{302A7A13-02C4-46EB-972C-9E0A1FBB01CE}" name="Physical CPUs (unit)" dataDxfId="518"/>
    <tableColumn id="7" xr3:uid="{DEE2E961-7DBA-4550-8588-AA10176E241A}" name="RAM (GB)" dataDxfId="517"/>
    <tableColumn id="8" xr3:uid="{60BD7BC6-DED7-4E58-A195-62BD9DD36E13}" name="HDD (unit)" dataDxfId="516"/>
    <tableColumn id="10" xr3:uid="{E065A136-D233-4BCD-9D56-C369C4826566}" name="SSD (GB)" dataDxfId="515"/>
    <tableColumn id="22" xr3:uid="{5CB1A5AE-F9BA-42A4-B110-748CB1B2F2DF}" name="Comment" dataDxfId="514"/>
    <tableColumn id="6" xr3:uid="{5736FF8A-E58A-437F-AA8A-0F7EEF67EBF2}" name="Energetic mix (kgCO2e / kWh)" dataDxfId="513">
      <calculatedColumnFormula>IFERROR(VLOOKUP(Software_On_Premise[[#This Row],[Server location ]],Mix_Energétique[],2,FALSE),0)</calculatedColumnFormula>
    </tableColumn>
    <tableColumn id="19" xr3:uid="{50F473B3-9B7F-4D10-933F-90380C9CB7F4}" name="Calculated physical server (unit)" dataDxfId="512">
      <calculatedColumnFormula>IF(Software_On_Premise[[#This Row],[Physical servers (unit)]]="",Software_On_Premise[[#This Row],[Calculated Physical CPU (unit)]]/'3.3 Assumptions'!$D$12,Software_On_Premise[[#This Row],[Physical servers (unit)]])</calculatedColumnFormula>
    </tableColumn>
    <tableColumn id="18" xr3:uid="{57A1B96B-3560-4BEB-8758-533A5C823B7F}" name="Calculated Physical CPU (unit)" dataDxfId="511">
      <calculatedColumnFormula>Software_On_Premise[[#This Row],[vCPU (unit)]]/'3.3 Assumptions'!$D$13+Software_On_Premise[[#This Row],[Physical CPUs (unit)]]</calculatedColumnFormula>
    </tableColumn>
    <tableColumn id="16" xr3:uid="{232E53B9-8895-4A62-9F3B-98C674647F1D}" name="Electric consumption (kWh)" dataDxfId="510">
      <calculatedColumnFormula>Software_On_Premise[[#This Row],[Calculated Physical CPU (unit)]]*'3.2 Emission Factors'!$M$53*Software_On_Premise[[#This Row],[PUE]]</calculatedColumnFormula>
    </tableColumn>
    <tableColumn id="14" xr3:uid="{0D2C65DF-9767-43BD-A110-F718EC1860D1}" name="Scope 2 (kgCO2e)" dataDxfId="509">
      <calculatedColumnFormula>Software_On_Premise[[#This Row],[Energetic mix (kgCO2e / kWh)]]*Software_On_Premise[[#This Row],[Electric consumption (kWh)]]</calculatedColumnFormula>
    </tableColumn>
    <tableColumn id="13" xr3:uid="{F8F79019-2694-4E76-AF3E-FF866654EAA4}" name="Scope 3 (kgCO2e)" dataDxfId="508">
      <calculatedColumnFormula>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calculatedColumnFormula>
    </tableColumn>
    <tableColumn id="12" xr3:uid="{5DE30545-DA4E-4D64-8C56-9DEAB574CA30}" name="Total emissions (kgCO2e)" dataDxfId="507">
      <calculatedColumnFormula>Software_On_Premise[[#This Row],[Scope 2 (kgCO2e)]]+Software_On_Premise[[#This Row],[Scope 3 (kgCO2e)]]</calculatedColumnFormula>
    </tableColumn>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1970345-7ED7-4727-9F59-5008CF7139D2}" name="Software_Cloud_ServerMethod" displayName="Software_Cloud_ServerMethod" ref="B35:V46" totalsRowShown="0" headerRowDxfId="506" dataDxfId="505" headerRowBorderDxfId="503" tableBorderDxfId="504">
  <autoFilter ref="B35:V46" xr:uid="{61970345-7ED7-4727-9F59-5008CF7139D2}"/>
  <tableColumns count="21">
    <tableColumn id="17" xr3:uid="{A15B985A-2C25-4A26-9420-72825576FCA1}" name="ID of data center" dataDxfId="502"/>
    <tableColumn id="1" xr3:uid="{760C540D-1BB4-4063-AB5E-366B590F9F3B}" name="ID of application" dataDxfId="501"/>
    <tableColumn id="11" xr3:uid="{877AFCFB-C3B4-498B-BDAE-3C479295B2E0}" name="Name of application" dataDxfId="500"/>
    <tableColumn id="9" xr3:uid="{11E3036E-966A-4975-AB22-C56C943833D9}" name="Description of app" dataDxfId="499"/>
    <tableColumn id="21" xr3:uid="{65564C62-47C2-4900-891D-B9F3ED462596}" name="Server lifespan" dataDxfId="498"/>
    <tableColumn id="2" xr3:uid="{74C46709-0E58-4F38-92B5-EB449596BF18}" name="Server location " dataDxfId="497"/>
    <tableColumn id="3" xr3:uid="{3176B88B-1DAA-4359-A326-C3712F2C97DD}" name="PUE" dataDxfId="496"/>
    <tableColumn id="15" xr3:uid="{D6B3C2C3-5D40-432F-A0E3-54AE506F9ABE}" name="Physical servers (unit)" dataDxfId="495"/>
    <tableColumn id="4" xr3:uid="{50D46279-EBBA-4172-B3B5-68B1BCAD9EF3}" name="vCPU (unit)" dataDxfId="494"/>
    <tableColumn id="5" xr3:uid="{06746AA3-E413-432C-8C8E-7D6C1BF99E9D}" name="Physical CPUs (unit)" dataDxfId="493"/>
    <tableColumn id="7" xr3:uid="{0FDB58D4-74D6-4364-98E4-90C49EEF2500}" name="RAM (GB)" dataDxfId="492"/>
    <tableColumn id="8" xr3:uid="{AFF04BD3-E79A-44DD-972E-7AF3AC21E160}" name="HDD (unit)" dataDxfId="491"/>
    <tableColumn id="10" xr3:uid="{A93935EF-17BC-42E0-AF32-8624A8C4DB6C}" name="SSD (GB)" dataDxfId="490"/>
    <tableColumn id="22" xr3:uid="{C3434D22-EECC-4867-97E2-251F14D45926}" name="Comment" dataDxfId="489"/>
    <tableColumn id="6" xr3:uid="{1310592D-3993-4343-A7FF-6C7DF1717AF5}" name="Energetic mix (kgCO2e / kWh)" dataDxfId="488">
      <calculatedColumnFormula>IFERROR(VLOOKUP(Software_Cloud_ServerMethod[[#This Row],[Server location ]],Mix_Energétique[],2,FALSE),0)</calculatedColumnFormula>
    </tableColumn>
    <tableColumn id="19" xr3:uid="{2A82FF16-27AE-4F3C-9043-9F1262339AF0}" name="Calculated physical server (unit)" dataDxfId="487">
      <calculatedColumnFormula>IF(Software_Cloud_ServerMethod[[#This Row],[Physical servers (unit)]]="",Software_Cloud_ServerMethod[[#This Row],[Calculated Physical CPU (unit)]]/'3.3 Assumptions'!$D$12,Software_Cloud_ServerMethod[[#This Row],[Physical servers (unit)]])</calculatedColumnFormula>
    </tableColumn>
    <tableColumn id="18" xr3:uid="{E1387882-7685-413F-8D4C-7DE3E5E99194}" name="Calculated Physical CPU (unit)" dataDxfId="486">
      <calculatedColumnFormula>Software_Cloud_ServerMethod[[#This Row],[vCPU (unit)]]/'3.3 Assumptions'!$D$13+Software_Cloud_ServerMethod[[#This Row],[Physical CPUs (unit)]]</calculatedColumnFormula>
    </tableColumn>
    <tableColumn id="16" xr3:uid="{8E6AB6AC-E933-4DB4-9955-C36FF5CF74DD}" name="Electric consumption (kWh)" dataDxfId="485">
      <calculatedColumnFormula>Software_Cloud_ServerMethod[[#This Row],[Calculated Physical CPU (unit)]]*'3.2 Emission Factors'!$M$53*Software_Cloud_ServerMethod[[#This Row],[PUE]]</calculatedColumnFormula>
    </tableColumn>
    <tableColumn id="14" xr3:uid="{6E4BD4BB-401C-48AF-A66A-8CE5AEC06523}" name="Scope 2 (kgCO2e)" dataDxfId="484">
      <calculatedColumnFormula>Software_Cloud_ServerMethod[[#This Row],[Energetic mix (kgCO2e / kWh)]]*Software_Cloud_ServerMethod[[#This Row],[Electric consumption (kWh)]]</calculatedColumnFormula>
    </tableColumn>
    <tableColumn id="13" xr3:uid="{A53F2D90-A050-4EA8-BF11-A6C67B0B7282}" name="Scope 3 (kgCO2e)" dataDxfId="483">
      <calculatedColumnFormula>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calculatedColumnFormula>
    </tableColumn>
    <tableColumn id="12" xr3:uid="{65C584E8-A989-4149-AE59-F60D490499E9}" name="Total emissions (kgCO2e)" dataDxfId="482">
      <calculatedColumnFormula>Software_Cloud_ServerMethod[[#This Row],[Scope 2 (kgCO2e)]]+Software_Cloud_ServerMethod[[#This Row],[Scope 3 (kgCO2e)]]</calculatedColumnFormula>
    </tableColumn>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8682E58-B4F8-410C-A442-5D0F5108BDED}" name="Software_Cloud_CostMethod" displayName="Software_Cloud_CostMethod" ref="B50:H61" totalsRowShown="0" headerRowDxfId="481" dataDxfId="480" headerRowBorderDxfId="478" tableBorderDxfId="479">
  <autoFilter ref="B50:H61" xr:uid="{48682E58-B4F8-410C-A442-5D0F5108BDED}"/>
  <tableColumns count="7">
    <tableColumn id="1" xr3:uid="{22CCFC88-DF6E-46E7-A242-E910F958D792}" name="ID of application" dataDxfId="477"/>
    <tableColumn id="11" xr3:uid="{0FCE2D19-4AA7-4EF9-8E82-AA600A89AA60}" name="Name of application" dataDxfId="476"/>
    <tableColumn id="6" xr3:uid="{391B0D73-010D-4341-99E3-2BA4EC99A2B8}" name="Description of app" dataDxfId="475"/>
    <tableColumn id="10" xr3:uid="{3429DE39-C460-4321-8A0F-52ADDDA8D177}" name="Cost (k€)" dataDxfId="474"/>
    <tableColumn id="22" xr3:uid="{CDA86303-3A5C-4C83-9C75-41EAEE72A711}" name="Comment" dataDxfId="473"/>
    <tableColumn id="7" xr3:uid="{F40FCC8C-3E93-467B-89D2-FB53E82C6513}" name="Emission Factor (kgCO2e / k€)" dataDxfId="472">
      <calculatedColumnFormula>'3.2 Emission Factors'!$G$89</calculatedColumnFormula>
    </tableColumn>
    <tableColumn id="13" xr3:uid="{1F8E8FA1-32C4-4287-B554-D968DAC3B04F}" name="Total emissions (kgCO2e)" dataDxfId="471">
      <calculatedColumnFormula>Software_Cloud_CostMethod[[#This Row],[Cost (k€)]]*Software_Cloud_CostMethod[[#This Row],[Emission Factor (kgCO2e / k€)]]</calculatedColumnFormula>
    </tableColumn>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5F0D8ED-E84D-4824-88E0-4A35B21DE46E}" name="External_TM" displayName="External_TM" ref="B13:K18" totalsRowShown="0" headerRowDxfId="470" dataDxfId="469" headerRowBorderDxfId="467" tableBorderDxfId="468" totalsRowBorderDxfId="466">
  <autoFilter ref="B13:K18" xr:uid="{E5F0D8ED-E84D-4824-88E0-4A35B21DE46E}"/>
  <tableColumns count="10">
    <tableColumn id="1" xr3:uid="{D7E1D389-BEE1-4EB3-9206-ADD2B6CCFD63}" name="ID of service" dataDxfId="465"/>
    <tableColumn id="7" xr3:uid="{BBC94400-479E-422A-88C2-F3906DFD8EAD}" name="Name of service" dataDxfId="464"/>
    <tableColumn id="4" xr3:uid="{2872139E-5749-4374-B7CD-01CE927FB00F}" name="Description" dataDxfId="463"/>
    <tableColumn id="6" xr3:uid="{D814BCD9-00F7-462F-99E8-F03AC1B42BAD}" name="Provider of service" dataDxfId="462"/>
    <tableColumn id="2" xr3:uid="{C34069A0-1626-4605-A0E6-C8B592F7D0E3}" name="T&amp;M (in FTE)" dataDxfId="461"/>
    <tableColumn id="11" xr3:uid="{15419F19-52B8-42B2-8385-6902BC4870D0}" name="Fixed Price (in k€)" dataDxfId="460"/>
    <tableColumn id="3" xr3:uid="{65B5FEB7-31FD-49F6-92A0-B5C38DF0C3B2}" name="Comment" dataDxfId="459"/>
    <tableColumn id="9" xr3:uid="{C6D705A4-CD41-4DCC-AC14-432639CC9338}" name="FTE emission factor (kgCO2e / unit)" dataDxfId="458">
      <calculatedColumnFormula>'3.2 Emission Factors'!$G$97</calculatedColumnFormula>
    </tableColumn>
    <tableColumn id="10" xr3:uid="{E51CF1FA-41FA-4A3A-A66A-95AAFBA8DCFA}" name="Cost emission factor (kgCO2e/k€)" dataDxfId="457">
      <calculatedColumnFormula>'3.2 Emission Factors'!$G$96</calculatedColumnFormula>
    </tableColumn>
    <tableColumn id="8" xr3:uid="{9026007A-D7F3-45F5-B8E4-DD2139DEA05A}" name="Total emissions (kgCO2e)" dataDxfId="456">
      <calculatedColumnFormula>External_TM[[#This Row],[T&amp;M (in FTE)]]*External_TM[[#This Row],[FTE emission factor (kgCO2e / unit)]]+External_TM[[#This Row],[Fixed Price (in k€)]]*External_TM[[#This Row],[Cost emission factor (kgCO2e/k€)]]</calculatedColumnFormula>
    </tableColumn>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41A5BDD-5011-41EF-B7A3-AD209EAAE4EA}" name="External_Fixed_Prices" displayName="External_Fixed_Prices" ref="B24:I29" totalsRowShown="0" headerRowDxfId="455" dataDxfId="454" headerRowBorderDxfId="452" tableBorderDxfId="453" totalsRowBorderDxfId="451">
  <autoFilter ref="B24:I29" xr:uid="{641A5BDD-5011-41EF-B7A3-AD209EAAE4EA}"/>
  <tableColumns count="8">
    <tableColumn id="1" xr3:uid="{46154D1D-DECF-4526-A81D-2E3DC6FC4018}" name="ID of service" dataDxfId="450"/>
    <tableColumn id="7" xr3:uid="{08ABEA77-002A-4645-8742-3179ED65315F}" name="Name of service" dataDxfId="449"/>
    <tableColumn id="4" xr3:uid="{CD950980-D19C-40D1-B09C-4626DE0E4D30}" name="Description" dataDxfId="448"/>
    <tableColumn id="6" xr3:uid="{4F5C2BA7-51E3-4C78-AF8D-79C4CB96F70E}" name="Provider of service" dataDxfId="447"/>
    <tableColumn id="3" xr3:uid="{23B24F25-BE15-418E-904A-0CC6DEFFB03A}" name="Fixed Price (in k€)" dataDxfId="446"/>
    <tableColumn id="11" xr3:uid="{31CB38B1-7532-41DB-A596-06BB24F380C5}" name="Comment" dataDxfId="445"/>
    <tableColumn id="10" xr3:uid="{B66C242C-98D5-41E1-835B-5C76D547123C}" name="Cost emission factor (kgCO2e/k€)" dataDxfId="444">
      <calculatedColumnFormula>'3.2 Emission Factors'!$G$96</calculatedColumnFormula>
    </tableColumn>
    <tableColumn id="9" xr3:uid="{E49800FC-30BB-4E1F-88B9-09D7687DD6E0}" name="Total emissions (kgCO2e)" dataDxfId="443">
      <calculatedColumnFormula>External_Fixed_Prices[[#This Row],[Fixed Price (in k€)]]*External_Fixed_Prices[[#This Row],[Cost emission factor (kgCO2e/k€)]]</calculatedColumnFormula>
    </tableColumn>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90AE1DFB-6516-40F1-8D96-C99E48AAD010}" name="Travel" displayName="Travel" ref="B13:G16" totalsRowShown="0" headerRowDxfId="442" dataDxfId="441" headerRowBorderDxfId="439" tableBorderDxfId="440" totalsRowBorderDxfId="438">
  <autoFilter ref="B13:G16" xr:uid="{E5F0D8ED-E84D-4824-88E0-4A35B21DE46E}"/>
  <tableColumns count="6">
    <tableColumn id="5" xr3:uid="{EBA3A4E6-AF77-4A63-A760-231C7B16EEDF}" name="Type of transportation" dataDxfId="437"/>
    <tableColumn id="1" xr3:uid="{05FFAEE0-D343-4B0C-8550-8FE250A52C69}" name="Number of km" dataDxfId="436"/>
    <tableColumn id="7" xr3:uid="{ECA0226A-547F-4BB4-8D6D-22A2CD2DA931}" name="Comment" dataDxfId="435"/>
    <tableColumn id="2" xr3:uid="{325B6FD1-61F5-44CF-93A6-BE9F06DFC427}" name="Emission Factor" dataDxfId="434">
      <calculatedColumnFormula>'3.2 Emission Factors'!$C$108</calculatedColumnFormula>
    </tableColumn>
    <tableColumn id="3" xr3:uid="{EE53CA9E-23A0-4486-9AEC-9CBFB52CE5EF}" name="Emissions (kgCO2e/km)" dataDxfId="433">
      <calculatedColumnFormula>VLOOKUP(Travel[[#This Row],[Emission Factor]],Tableau36[[Name]:[Emissions]],5,FALSE)</calculatedColumnFormula>
    </tableColumn>
    <tableColumn id="4" xr3:uid="{287DE4DB-72FE-423D-B2D5-37AB246038E1}" name="Total emissions (kgC02e)" dataDxfId="432">
      <calculatedColumnFormula>Travel[[#This Row],[Emissions (kgCO2e/km)]]*Travel[[#This Row],[Number of km]]</calculatedColumnFormula>
    </tableColumn>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1A62796-E9A5-4277-9F9A-20EDC20D1CFA}" name="Non_Cyber_Servers" displayName="Non_Cyber_Servers" ref="B38:P48" totalsRowShown="0" headerRowDxfId="428" dataDxfId="427" headerRowBorderDxfId="425" tableBorderDxfId="426">
  <autoFilter ref="B38:P48" xr:uid="{3C125125-4736-4B64-A2A5-CE3BFE064F16}"/>
  <tableColumns count="15">
    <tableColumn id="1" xr3:uid="{776BB032-A789-496E-A7B3-CEE3917FBC2A}" name="ID of data center" dataDxfId="424"/>
    <tableColumn id="11" xr3:uid="{77D68352-1803-4C74-8AD3-3ED5A4F3C576}" name="Model of server" dataDxfId="423"/>
    <tableColumn id="10" xr3:uid="{A0B2B29B-B565-4D6A-BAEE-D7D9D791CE4A}" name="Type of server (PROD,TEST)" dataDxfId="422"/>
    <tableColumn id="4" xr3:uid="{93B4C343-02DD-43BB-9FDD-888CC06B01BA}" name="Server lifespan" dataDxfId="421"/>
    <tableColumn id="2" xr3:uid="{D4BF83E9-026C-438D-AA47-6D968D53D170}" name="Server location " dataDxfId="420"/>
    <tableColumn id="3" xr3:uid="{2DE43A05-72F6-4755-AA56-92D7181EE137}" name="PUE" dataDxfId="419"/>
    <tableColumn id="15" xr3:uid="{C1732735-9CC8-4B14-94F6-656D5191E66E}" name="Physical servers (unit)" dataDxfId="418"/>
    <tableColumn id="6" xr3:uid="{48C960C1-E8DF-4D38-BBC1-41AF35289D49}" name="Physical CPU (unit)" dataDxfId="417"/>
    <tableColumn id="7" xr3:uid="{A7ECB95D-09E8-4955-B640-700D06265CF1}" name="RAM (GB)" dataDxfId="416"/>
    <tableColumn id="5" xr3:uid="{1E7F3A42-BCF2-42E7-B7D7-3AC4D62479D1}" name="Comment" dataDxfId="415"/>
    <tableColumn id="8" xr3:uid="{18E83396-176F-4757-B85B-4CF0F17CD8E8}" name="Energetic mix (kgCO2e / kWh)" dataDxfId="414">
      <calculatedColumnFormula>IFERROR(VLOOKUP(Non_Cyber_Servers[[#This Row],[Server location ]],Mix_Energétique[],2,FALSE),0)</calculatedColumnFormula>
    </tableColumn>
    <tableColumn id="9" xr3:uid="{4C97FE2D-EFE4-42CA-9917-F1FC964EAA4F}" name="Electric consumption (kWh)" dataDxfId="413">
      <calculatedColumnFormula>Non_Cyber_Servers[[#This Row],[Physical CPU (unit)]]*'3.2 Emission Factors'!$M$53*Non_Cyber_Servers[[#This Row],[PUE]]</calculatedColumnFormula>
    </tableColumn>
    <tableColumn id="14" xr3:uid="{498A2E38-E6B1-41BA-9DE5-8C807D423F42}" name="Scope 2 (kgCO2e)" dataDxfId="412">
      <calculatedColumnFormula>Non_Cyber_Servers[[#This Row],[Electric consumption (kWh)]]*Non_Cyber_Servers[[#This Row],[Energetic mix (kgCO2e / kWh)]]</calculatedColumnFormula>
    </tableColumn>
    <tableColumn id="13" xr3:uid="{884A2628-55DA-4AE0-BE54-D66C0B36E940}" name="Scope 3 (kgCO2e)" dataDxfId="411">
      <calculatedColumnFormula>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calculatedColumnFormula>
    </tableColumn>
    <tableColumn id="12" xr3:uid="{8354C48D-EF0D-4140-BAAE-8121DC518CDF}" name="Total emissions (kgCO2e)" dataDxfId="410">
      <calculatedColumnFormula>Non_Cyber_Servers[[#This Row],[Scope 2 (kgCO2e)]]+Non_Cyber_Servers[[#This Row],[Scope 3 (kgCO2e)]]</calculatedColumnFormula>
    </tableColumn>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F9A4EAA-BAD4-4715-9127-31C87A374CFC}" name="Non_Cyber_Workstation_Laptop" displayName="Non_Cyber_Workstation_Laptop" ref="B14:K17" totalsRowShown="0" headerRowDxfId="409" dataDxfId="408" headerRowBorderDxfId="406" tableBorderDxfId="407">
  <autoFilter ref="B14:K17" xr:uid="{EF9A4EAA-BAD4-4715-9127-31C87A374CFC}"/>
  <tableColumns count="10">
    <tableColumn id="3" xr3:uid="{62EC81EA-5C17-469E-AA3B-037D6455AEC9}" name="Scope" dataDxfId="405"/>
    <tableColumn id="4" xr3:uid="{CF8D6B6F-D25C-424F-8B5D-FA2B25AE365F}" name="Quantity " dataDxfId="404"/>
    <tableColumn id="5" xr3:uid="{51645C85-E3C7-4ADC-B502-15C52B084E2A}" name="Lifespan" dataDxfId="403"/>
    <tableColumn id="2" xr3:uid="{E9807D5C-0AF4-4F9B-96E8-9493681607EB}" name="Energetic mix (kgCO2e/kWh)" dataDxfId="402"/>
    <tableColumn id="8" xr3:uid="{530CDCC7-8FF5-43ED-8FEF-CD9B36539322}" name="Emission Factor" dataDxfId="401">
      <calculatedColumnFormula>'3.2 Emission Factors'!$C$8</calculatedColumnFormula>
    </tableColumn>
    <tableColumn id="14" xr3:uid="{503F137A-136F-4A67-B738-6C8951D00AE8}" name="Electric consumption (kWh/year/unit)" dataDxfId="400">
      <calculatedColumnFormula>VLOOKUP(Non_Cyber_Workstation_Laptop[[#This Row],[Emission Factor]],Tableau3[[Name]:[Consumption (kWh/year)]],6,FALSE)</calculatedColumnFormula>
    </tableColumn>
    <tableColumn id="15" xr3:uid="{4B3D9F9D-CA1D-42AF-BFCD-9AE5220D0732}" name="Manufacturing (kgCO2e/unit)" dataDxfId="399">
      <calculatedColumnFormula>VLOOKUP(Non_Cyber_Workstation_Laptop[[#This Row],[Emission Factor]],Tableau3[[Name]:[Consumption (kWh/year)]],5,FALSE)</calculatedColumnFormula>
    </tableColumn>
    <tableColumn id="9" xr3:uid="{B75AEB2D-B17F-4458-8C3A-5C009CA8753C}" name="Scope 2 (kgC02e)" dataDxfId="398">
      <calculatedColumnFormula>Non_Cyber_Workstation_Laptop[[#This Row],[Electric consumption (kWh/year/unit)]]*Non_Cyber_Workstation_Laptop[[#This Row],[Energetic mix (kgCO2e/kWh)]]*Non_Cyber_Workstation_Laptop[[#This Row],[Quantity ]]</calculatedColumnFormula>
    </tableColumn>
    <tableColumn id="10" xr3:uid="{072B1BE2-A8DE-4642-8178-FB31709AB55B}" name="Scope 3 (kgC02e)" dataDxfId="397">
      <calculatedColumnFormula>Non_Cyber_Workstation_Laptop[[#This Row],[Manufacturing (kgCO2e/unit)]]*Non_Cyber_Workstation_Laptop[[#This Row],[Quantity ]]/Non_Cyber_Workstation_Laptop[[#This Row],[Lifespan]]</calculatedColumnFormula>
    </tableColumn>
    <tableColumn id="11" xr3:uid="{5609A9BC-A4B5-4378-B5E8-857417CC8459}" name="Total emissions (kgC02e)" dataDxfId="396">
      <calculatedColumnFormula>Non_Cyber_Workstation_Laptop[[#This Row],[Scope 2 (kgC02e)]]+Non_Cyber_Workstation_Laptop[[#This Row],[Scope 3 (kgC02e)]]</calculatedColumnFormula>
    </tableColumn>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60B6C54-6BD7-4A48-8377-D922CF1A8BD8}" name="Non_Cyber_Group_VDI45" displayName="Non_Cyber_Group_VDI45" ref="B30:J32" totalsRowShown="0" headerRowDxfId="395" dataDxfId="394" headerRowBorderDxfId="392" tableBorderDxfId="393">
  <autoFilter ref="B30:J32" xr:uid="{F60B6C54-6BD7-4A48-8377-D922CF1A8BD8}"/>
  <tableColumns count="9">
    <tableColumn id="3" xr3:uid="{4D517F1F-9CBC-442D-9C68-A48D2288C250}" name="Scope" dataDxfId="391"/>
    <tableColumn id="4" xr3:uid="{E11C2F26-20A6-4848-9517-E03DA8214ACD}" name="Quantity " dataDxfId="390"/>
    <tableColumn id="2" xr3:uid="{04419803-29D7-413B-BBC9-64B4E7E40B9B}" name="Energetic mix (kgCO2e/kWh)" dataDxfId="389">
      <calculatedColumnFormula>CI_Group_Staff</calculatedColumnFormula>
    </tableColumn>
    <tableColumn id="8" xr3:uid="{7454C0ED-9B09-45E7-B25D-C595AEAEDDB3}" name="Emission Factor" dataDxfId="388">
      <calculatedColumnFormula>'3.2 Emission Factors'!$C$14</calculatedColumnFormula>
    </tableColumn>
    <tableColumn id="9" xr3:uid="{E69ABF17-71D9-4641-A2DD-F1EF7829D95A}" name="Electric consumption (kWh/year/unit)" dataDxfId="387">
      <calculatedColumnFormula>VLOOKUP(Non_Cyber_Group_VDI45[[#This Row],[Emission Factor]],Tableau13[[Name]:[Consumption (kWh/year)]],6,FALSE)</calculatedColumnFormula>
    </tableColumn>
    <tableColumn id="10" xr3:uid="{F66AA9F1-8D98-442B-958C-4DFEFC97743D}" name="Manufacturing (kgCO2e/unit)" dataDxfId="386">
      <calculatedColumnFormula>VLOOKUP(Non_Cyber_Group_VDI45[[#This Row],[Emission Factor]],Tableau13[[Name]:[Consumption (kWh/year)]],5,FALSE)</calculatedColumnFormula>
    </tableColumn>
    <tableColumn id="11" xr3:uid="{C7F2E8D2-9744-44FA-8754-620C63179A4A}" name="Scope 2 (kgC02e)" dataDxfId="385">
      <calculatedColumnFormula>Non_Cyber_Group_VDI45[[#This Row],[Electric consumption (kWh/year/unit)]]*Non_Cyber_Group_VDI45[[#This Row],[Energetic mix (kgCO2e/kWh)]]*Non_Cyber_Group_VDI45[[#This Row],[Quantity ]]</calculatedColumnFormula>
    </tableColumn>
    <tableColumn id="13" xr3:uid="{172034E0-69DF-4421-B69D-D4014E19FAE8}" name="Scope 3 (kgC02e)" dataDxfId="384">
      <calculatedColumnFormula>Non_Cyber_Group_VDI45[[#This Row],[Manufacturing (kgCO2e/unit)]]*Non_Cyber_Group_VDI45[[#This Row],[Quantity ]]</calculatedColumnFormula>
    </tableColumn>
    <tableColumn id="14" xr3:uid="{8B6A5E11-F239-4CCC-A3FD-6E2C4583A9F3}" name="Total emissions (kgC02e)" dataDxfId="383">
      <calculatedColumnFormula>Non_Cyber_Group_VDI45[[#This Row],[Scope 2 (kgC02e)]]+Non_Cyber_Group_VDI45[[#This Row],[Scope 3 (kgC02e)]]</calculatedColumnFormula>
    </tableColumn>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9808B1E-2049-4CF7-8F98-984CE2999038}" name="Non_cyber_Workstation_Desktop" displayName="Non_cyber_Workstation_Desktop" ref="B21:K24" totalsRowShown="0" headerRowDxfId="382" dataDxfId="381" headerRowBorderDxfId="379" tableBorderDxfId="380">
  <autoFilter ref="B21:K24" xr:uid="{19808B1E-2049-4CF7-8F98-984CE2999038}"/>
  <tableColumns count="10">
    <tableColumn id="3" xr3:uid="{ED408BF7-8265-4E1D-A41A-F6723DCED916}" name="Scope" dataDxfId="378"/>
    <tableColumn id="4" xr3:uid="{9F07C156-A60A-4318-8DD0-F35081BE4128}" name="Quantity " dataDxfId="377"/>
    <tableColumn id="5" xr3:uid="{40AE2E2E-B229-4100-82C4-F346DD030509}" name="Lifespan" dataDxfId="376"/>
    <tableColumn id="2" xr3:uid="{CA783368-7ECA-46DA-878E-C40568CA0C3E}" name="Energetic mix (kgCO2e/kWh)" dataDxfId="375"/>
    <tableColumn id="8" xr3:uid="{68E25DC5-5F8A-4D95-9D79-D88A99AC09F4}" name="Emission Factor" dataDxfId="374">
      <calculatedColumnFormula>'3.2 Emission Factors'!$C$9</calculatedColumnFormula>
    </tableColumn>
    <tableColumn id="14" xr3:uid="{6110E54E-971E-42D7-A7A1-F2095B0504B3}" name="Electric consumption (kWh/year/unit)" dataDxfId="373">
      <calculatedColumnFormula>VLOOKUP(Non_cyber_Workstation_Desktop[[#This Row],[Emission Factor]],Tableau3[[Name]:[Consumption (kWh/year)]],6,FALSE)</calculatedColumnFormula>
    </tableColumn>
    <tableColumn id="15" xr3:uid="{A625EFBA-8FE9-4A5D-8314-EEAC2E01CA37}" name="Manufacturing (kgCO2e/unit)" dataDxfId="372">
      <calculatedColumnFormula>VLOOKUP(Non_cyber_Workstation_Desktop[[#This Row],[Emission Factor]],Tableau3[[Name]:[Consumption (kWh/year)]],5,FALSE)</calculatedColumnFormula>
    </tableColumn>
    <tableColumn id="9" xr3:uid="{D221C1F9-1C7F-4849-B69E-8341E06548FA}" name="Scope 2 (kgC02e)" dataDxfId="371">
      <calculatedColumnFormula>Non_cyber_Workstation_Desktop[[#This Row],[Electric consumption (kWh/year/unit)]]*Non_cyber_Workstation_Desktop[[#This Row],[Energetic mix (kgCO2e/kWh)]]*Non_cyber_Workstation_Desktop[[#This Row],[Quantity ]]</calculatedColumnFormula>
    </tableColumn>
    <tableColumn id="10" xr3:uid="{C9C34CE5-3FD8-437A-AF77-EF1A93349EFF}" name="Scope 3 (kgC02e)" dataDxfId="370">
      <calculatedColumnFormula>Non_cyber_Workstation_Desktop[[#This Row],[Manufacturing (kgCO2e/unit)]]*Non_cyber_Workstation_Desktop[[#This Row],[Quantity ]]/Non_cyber_Workstation_Desktop[[#This Row],[Lifespan]]</calculatedColumnFormula>
    </tableColumn>
    <tableColumn id="11" xr3:uid="{14EF4B47-7627-4391-A708-89910C4898E5}" name="Total emissions (kgC02e)" dataDxfId="369">
      <calculatedColumnFormula>Non_cyber_Workstation_Desktop[[#This Row],[Scope 2 (kgC02e)]]+Non_cyber_Workstation_Desktop[[#This Row],[Scope 3 (kgC02e)]]</calculatedColumnFormula>
    </tableColumn>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4D02767-7839-4657-9D21-6124BE380825}" name="Mapping_Devices_Workstation_Laptop" displayName="Mapping_Devices_Workstation_Laptop" ref="B33:I36" totalsRowShown="0" headerRowDxfId="368" headerRowBorderDxfId="366" tableBorderDxfId="367">
  <autoFilter ref="B33:I36" xr:uid="{D38FD372-162A-4006-ADDF-9863B233DC4E}"/>
  <tableColumns count="8">
    <tableColumn id="3" xr3:uid="{C7A54E68-49AF-4F16-8DD4-C86B3E817022}" name="Scope" dataDxfId="365"/>
    <tableColumn id="4" xr3:uid="{96D7FD72-663D-4642-A8EF-BBEF7DB781DB}" name="Internal referential" dataDxfId="364"/>
    <tableColumn id="5" xr3:uid="{ADB600F6-E76E-4790-8499-7B1D6106F01B}" name="NIST Control" dataDxfId="363"/>
    <tableColumn id="14" xr3:uid="{B1CF2F9B-9244-4272-8012-BE4E33583B06}" name="NIST Topic" dataDxfId="362">
      <calculatedColumnFormula>_xlfn.XLOOKUP(Mapping_Devices_Workstation_Laptop[[#This Row],[NIST Control]],Referential_NIST_Control[NIST Control],Referential_NIST_Control[NIST Topic])</calculatedColumnFormula>
    </tableColumn>
    <tableColumn id="2" xr3:uid="{1BAFC041-E27B-4F4C-AB14-94392ED2BB66}" name="% Dedicated to cyber" dataDxfId="361"/>
    <tableColumn id="9" xr3:uid="{BB71035D-A5F4-42DD-B2C8-4D2EBFA4D1EF}" name="Scope 2 (kgC02e)" dataDxfId="360"/>
    <tableColumn id="10" xr3:uid="{CF949647-B801-4846-8754-9F1652FF7094}" name="Scope 3 (kgC02e)" dataDxfId="359"/>
    <tableColumn id="11" xr3:uid="{03444D86-B8F8-4E22-A151-0F84F8B415AE}" name="Total emissions (kgC02e)" dataDxfId="358">
      <calculatedColumnFormula>Mapping_Devices_Workstation_Laptop[[#This Row],[Scope 2 (kgC02e)]]+Mapping_Devices_Workstation_Laptop[[#This Row],[Scope 3 (kgC02e)]]</calculatedColumnFormula>
    </tableColumn>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19AF50B0-17D3-44AA-B3F0-345884204AFF}" name="Mapping_Devices_Screens" displayName="Mapping_Devices_Screens" ref="B47:H48" totalsRowShown="0" headerRowDxfId="357" headerRowBorderDxfId="355" tableBorderDxfId="356">
  <autoFilter ref="B47:H48" xr:uid="{DD056E13-1E48-45A4-9BDC-9ABC39D23DC6}"/>
  <tableColumns count="7">
    <tableColumn id="3" xr3:uid="{D1C4DAAE-DE8D-448A-BD21-4A3170F18793}" name="Scope" dataDxfId="354"/>
    <tableColumn id="4" xr3:uid="{475D23F2-5869-421D-BC1C-957AAD7C2ABB}" name="Internal referential" dataDxfId="353"/>
    <tableColumn id="5" xr3:uid="{2C18473E-8064-4726-877A-2C920EFEE584}" name="NIST Control" dataDxfId="352"/>
    <tableColumn id="13" xr3:uid="{AC73B6F8-A35B-4C2F-AC40-AD93E8B55623}" name="NIST Topic" dataDxfId="351">
      <calculatedColumnFormula>_xlfn.XLOOKUP(Mapping_Devices_Screens[[#This Row],[NIST Control]],Referential_NIST_Control[NIST Control],Referential_NIST_Control[NIST Topic])</calculatedColumnFormula>
    </tableColumn>
    <tableColumn id="9" xr3:uid="{B98E2BCD-4D24-4F0E-86C5-0246BCA7F200}" name="Scope 2 (kgC02e)" dataDxfId="350">
      <calculatedColumnFormula array="1">Tableau43940[Scope 2 (kgC02e)]</calculatedColumnFormula>
    </tableColumn>
    <tableColumn id="10" xr3:uid="{A77E3D95-E08A-4585-A209-59B1B2DE41D3}" name="Scope 3 (kgC02e)" dataDxfId="349">
      <calculatedColumnFormula array="1">Tableau43940[Scope 3 (kgC02e)]</calculatedColumnFormula>
    </tableColumn>
    <tableColumn id="11" xr3:uid="{B9D70079-573B-4C34-9AEC-FF5EBC6C2491}" name="Total emissions (kgC02e)" dataDxfId="348">
      <calculatedColumnFormula array="1">Tableau43940[Total emissions (kgC02e)]</calculatedColumnFormula>
    </tableColumn>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441EB8B-179E-4444-9D7D-41E03EA9A3BD}" name="Mapping_Devices_Smartphone" displayName="Mapping_Devices_Smartphone" ref="B52:H53" totalsRowShown="0" headerRowDxfId="347" headerRowBorderDxfId="345" tableBorderDxfId="346">
  <autoFilter ref="B52:H53" xr:uid="{3E4896F4-F1C7-449C-A474-76EF4CFC47B5}"/>
  <tableColumns count="7">
    <tableColumn id="3" xr3:uid="{47EF0700-BB05-425D-9D70-05A713E1C3EB}" name="Scope" dataDxfId="344"/>
    <tableColumn id="4" xr3:uid="{E93C2816-B3B2-47E0-8FC0-B6A78F3FB11A}" name="Internal referential" dataDxfId="343"/>
    <tableColumn id="5" xr3:uid="{57FFD1EE-9537-4B56-9D52-52439DC5060C}" name="NIST Control" dataDxfId="342"/>
    <tableColumn id="13" xr3:uid="{21557D7C-B9D9-403C-85B2-12973DD620F0}" name="NIST Topic" dataDxfId="341">
      <calculatedColumnFormula>_xlfn.XLOOKUP(Mapping_Devices_Smartphone[[#This Row],[NIST Control]],Referential_NIST_Control[NIST Control],Referential_NIST_Control[NIST Topic])</calculatedColumnFormula>
    </tableColumn>
    <tableColumn id="9" xr3:uid="{01555C4C-C8AE-4C8F-8BE1-ED29DB8F8FF2}" name="Scope 2 (kgC02e)" dataDxfId="340">
      <calculatedColumnFormula array="1">Devices_Smartphones[Scope 2 (kgC02e)]</calculatedColumnFormula>
    </tableColumn>
    <tableColumn id="10" xr3:uid="{82F3AAC4-86BA-402B-9934-7AB8B094ABD7}" name="Scope 3 (kgC02e)" dataDxfId="339">
      <calculatedColumnFormula array="1">Devices_Smartphones[Scope 3 (kgC02e)]</calculatedColumnFormula>
    </tableColumn>
    <tableColumn id="11" xr3:uid="{0C92F7F0-EFE8-42FF-9009-7E98BDC79AF4}" name="Total emissions (kgC02e)" dataDxfId="338">
      <calculatedColumnFormula array="1">Devices_Smartphones[Total emissions (kgC02e)]</calculatedColumnFormula>
    </tableColumn>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483EE77C-FECB-46D0-A910-481B00ED8A3A}" name="Mapping_Device_Results_by_TOPIC" displayName="Mapping_Device_Results_by_TOPIC" ref="B15:G30" totalsRowCount="1" headerRowDxfId="337" dataDxfId="336">
  <autoFilter ref="B15:G29" xr:uid="{483EE77C-FECB-46D0-A910-481B00ED8A3A}"/>
  <tableColumns count="6">
    <tableColumn id="1" xr3:uid="{ECEADE90-F948-4785-82B7-C2CC570A6594}" name="Topics" totalsRowLabel="Total"/>
    <tableColumn id="2" xr3:uid="{0C854159-F15C-4B01-B6EF-E100D2BBAE6D}" name="Total Devices emissions (kgCO2e)" totalsRowFunction="sum" dataDxfId="334" totalsRowDxfId="335">
      <calculatedColumnFormula>SUM(Mapping_Device_Results_by_TOPIC[[#This Row],[Workstation_Laptop]:[Smartphones]])</calculatedColumnFormula>
    </tableColumn>
    <tableColumn id="3" xr3:uid="{5C6729C6-77A6-4243-8591-0164088DF22B}" name="Workstation_Laptop" totalsRowFunction="sum" dataDxfId="332" totalsRowDxfId="333">
      <calculatedColumnFormula>SUMIF(Mapping_Devices_Workstation_Laptop[NIST Topic],Mapping_Device_Results_by_TOPIC[[#This Row],[Topics]],Mapping_Devices_Workstation_Laptop[Total emissions (kgC02e)])</calculatedColumnFormula>
    </tableColumn>
    <tableColumn id="7" xr3:uid="{5FB2B9E4-1E5C-487F-8124-588411675A9A}" name="Workstation_Desktop" totalsRowFunction="sum" dataDxfId="330" totalsRowDxfId="331">
      <calculatedColumnFormula>SUMIF(Mapping_Devices_Workstation_Desktop[NIST Topic],Mapping_Device_Results_by_TOPIC[[#This Row],[Topics]],Mapping_Devices_Workstation_Desktop[Total emissions (kgC02e)])</calculatedColumnFormula>
    </tableColumn>
    <tableColumn id="5" xr3:uid="{2736DB18-AF10-4BA9-87E0-94C1BC63356F}" name="Screens" totalsRowFunction="sum" dataDxfId="328" totalsRowDxfId="329">
      <calculatedColumnFormula>SUMIF(Mapping_Devices_Screens[NIST Topic],Mapping_Device_Results_by_TOPIC[[#This Row],[Topics]],Mapping_Devices_Screens[Total emissions (kgC02e)])</calculatedColumnFormula>
    </tableColumn>
    <tableColumn id="6" xr3:uid="{7EE80249-1108-4677-B113-FE62BD08A90E}" name="Smartphones" totalsRowFunction="sum" dataDxfId="326" totalsRowDxfId="327">
      <calculatedColumnFormula>SUMIF(Mapping_Devices_Smartphone[NIST Topic],Mapping_Device_Results_by_TOPIC[[#This Row],[Topics]],Mapping_Devices_Smartphone[Total emissions (kgC02e)])</calculatedColumnFormula>
    </tableColumn>
  </tableColumns>
  <tableStyleInfo name="TableStyleLight8"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39D8349-E1C0-47B0-8F33-2F08BA7139D9}" name="Mapping_Devices_Workstation_Desktop" displayName="Mapping_Devices_Workstation_Desktop" ref="B40:I43" totalsRowShown="0" headerRowDxfId="325" headerRowBorderDxfId="323" tableBorderDxfId="324">
  <autoFilter ref="B40:I43" xr:uid="{C39D8349-E1C0-47B0-8F33-2F08BA7139D9}"/>
  <tableColumns count="8">
    <tableColumn id="3" xr3:uid="{7456364F-669A-4188-9DBA-2CE2DFEF1228}" name="Scope" dataDxfId="322"/>
    <tableColumn id="4" xr3:uid="{D885BC14-8CF9-42A0-83D3-B8FA412F89A3}" name="Internal referential" dataDxfId="321"/>
    <tableColumn id="5" xr3:uid="{0A361833-3D23-4EC8-A442-684F46349697}" name="NIST Control" dataDxfId="320"/>
    <tableColumn id="14" xr3:uid="{EEAB8B6E-2D86-47AE-9119-D15050478377}" name="NIST Topic" dataDxfId="319">
      <calculatedColumnFormula>_xlfn.XLOOKUP(Mapping_Devices_Workstation_Desktop[[#This Row],[NIST Control]],Referential_NIST_Control[NIST Control],Referential_NIST_Control[NIST Topic])</calculatedColumnFormula>
    </tableColumn>
    <tableColumn id="2" xr3:uid="{EA8A72C1-EC32-41C9-A1A6-38AA266197B2}" name="% Dedicated to cyber" dataDxfId="318"/>
    <tableColumn id="9" xr3:uid="{CFA17086-27C5-41CD-967F-BA08D0A1659C}" name="Scope 2 (kgC02e)" dataDxfId="317"/>
    <tableColumn id="10" xr3:uid="{9871F26D-72C9-4AB7-B2E2-79EDEE3E48E6}" name="Scope 3 (kgC02e)" dataDxfId="316"/>
    <tableColumn id="11" xr3:uid="{56D2FD4F-2AD2-45E5-B55D-A7503BD876E0}" name="Total emissions (kgC02e)" dataDxfId="315">
      <calculatedColumnFormula>Mapping_Devices_Workstation_Desktop[[#This Row],[Scope 2 (kgC02e)]]+Mapping_Devices_Workstation_Desktop[[#This Row],[Scope 3 (kgC02e)]]</calculatedColumnFormula>
    </tableColumn>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1688FE3-244D-4DB2-80E4-BE4D9DB37F32}" name="Mapping_Appliance" displayName="Mapping_Appliance" ref="B33:H36" totalsRowShown="0" headerRowDxfId="314" headerRowBorderDxfId="312" tableBorderDxfId="313">
  <autoFilter ref="B33:H36" xr:uid="{D38FD372-162A-4006-ADDF-9863B233DC4E}"/>
  <tableColumns count="7">
    <tableColumn id="3" xr3:uid="{6F9B2810-3549-4663-8E4E-D42535C07C3B}" name="Scope" dataDxfId="311"/>
    <tableColumn id="4" xr3:uid="{55520CF4-9DE6-4857-8CFD-BAB8C6AA631C}" name="Internal referential" dataDxfId="310"/>
    <tableColumn id="5" xr3:uid="{572AF491-E9F9-4994-9044-91BBE6CAFC07}" name="NIST Control" dataDxfId="309"/>
    <tableColumn id="14" xr3:uid="{01128199-CB80-4F17-8CF9-9286FC88E94C}" name="NIST Topic" dataDxfId="308">
      <calculatedColumnFormula>_xlfn.XLOOKUP(Mapping_Appliance[[#This Row],[NIST Control]],Referential_NIST_Control[NIST Control],Referential_NIST_Control[NIST Topic])</calculatedColumnFormula>
    </tableColumn>
    <tableColumn id="8" xr3:uid="{B7837384-D396-45E5-A25A-2761FEED3689}" name="Scope 2 (kgC02e)" dataDxfId="307">
      <calculatedColumnFormula>SUM(Network_Proxy[Scope 2 (kgC02e)])</calculatedColumnFormula>
    </tableColumn>
    <tableColumn id="9" xr3:uid="{67DAA79E-19E5-4A56-A801-69F1F417A6A8}" name="Scope 3 (kgC02e)" dataDxfId="306">
      <calculatedColumnFormula>'1.2 Network'!L15</calculatedColumnFormula>
    </tableColumn>
    <tableColumn id="10" xr3:uid="{77C05243-EDD8-469D-8172-F218AF65E680}" name="Total emissions (kgC02e)" dataDxfId="305">
      <calculatedColumnFormula>'1.2 Network'!M15</calculatedColumnFormula>
    </tableColumn>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6DC8C15D-DABF-4841-8EF3-36217CB3EC94}" name="Mapping_Network_Results_by_TOPIC" displayName="Mapping_Network_Results_by_TOPIC" ref="B15:C30" totalsRowCount="1" headerRowDxfId="304" dataDxfId="303" tableBorderDxfId="302">
  <autoFilter ref="B15:C29" xr:uid="{6DC8C15D-DABF-4841-8EF3-36217CB3EC94}"/>
  <tableColumns count="2">
    <tableColumn id="1" xr3:uid="{03B570F7-0A83-4393-8D95-44E0753F2178}" name="Topics" totalsRowLabel="Total" dataDxfId="300" totalsRowDxfId="301"/>
    <tableColumn id="2" xr3:uid="{A2E5D053-8764-4817-B45B-320933A8396B}" name="Appliances emissions (kgCO2e)" totalsRowFunction="sum" dataDxfId="298" totalsRowDxfId="299">
      <calculatedColumnFormula>SUMIF(Mapping_Appliance[NIST Topic],Mapping_Network_Results_by_TOPIC[[#This Row],[Topics]],Mapping_Appliance[Total emissions (kgC02e)])</calculatedColumnFormula>
    </tableColumn>
  </tableColumns>
  <tableStyleInfo name="TableStyleLight8"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597220F-C221-442B-953C-40559A850AA6}" name="Mapping_Servers_Backup" displayName="Mapping_Servers_Backup" ref="B41:H43" totalsRowShown="0" headerRowDxfId="297" headerRowBorderDxfId="295" tableBorderDxfId="296">
  <autoFilter ref="B41:H43" xr:uid="{1597220F-C221-442B-953C-40559A850AA6}"/>
  <tableColumns count="7">
    <tableColumn id="3" xr3:uid="{AEDD57AA-119B-4418-A685-A1F5678DED7E}" name="Scope" dataDxfId="294"/>
    <tableColumn id="4" xr3:uid="{483E28DA-33BC-43DD-AE48-6F1186BB3A2E}" name="Internal referential" dataDxfId="293"/>
    <tableColumn id="5" xr3:uid="{E48B0FB8-E4E9-47AE-BA7E-E729B1619E7B}" name="NIST Control" dataDxfId="292"/>
    <tableColumn id="15" xr3:uid="{A106E2BE-A66A-41CA-A159-B1FF3BFDBD93}" name="NIST Topic" dataDxfId="291">
      <calculatedColumnFormula>_xlfn.XLOOKUP(Mapping_Servers_Backup[[#This Row],[NIST Control]],Referential_NIST_Control[NIST Control],Referential_NIST_Control[NIST Topic])</calculatedColumnFormula>
    </tableColumn>
    <tableColumn id="9" xr3:uid="{8038D9CB-58D2-4B97-9A18-B2BFEF5E5700}" name="Scope 2 (kgC02e)" dataDxfId="290">
      <calculatedColumnFormula>SUMIF(Servers_Backup[Cyber category],Mapping_Servers_Backup[[#This Row],[Scope]],Servers_Backup[Scope 2 (kgCO2e)])</calculatedColumnFormula>
    </tableColumn>
    <tableColumn id="10" xr3:uid="{7DF71EB2-89C4-491C-BE63-AE22A4AC8FD4}" name="Scope 3 (kgC02e)" dataDxfId="289">
      <calculatedColumnFormula>SUMIF(Servers_Backup[Cyber category],Mapping_Servers_Backup[[#This Row],[Scope]],Servers_Backup[Scope 3 (kgCO2e)])</calculatedColumnFormula>
    </tableColumn>
    <tableColumn id="14" xr3:uid="{3CCF6B1C-71E2-4021-86B3-9BDD4ADF9108}" name="Total emissions (kgC02e)" dataDxfId="288">
      <calculatedColumnFormula>Mapping_Servers_Backup[[#This Row],[Scope 2 (kgC02e)]]+Mapping_Servers_Backup[[#This Row],[Scope 3 (kgC02e)]]</calculatedColumnFormula>
    </tableColumn>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880A236-E57A-4381-AD03-8755583B9452}" name="Mapping_Servers_Results_by_TOPIC" displayName="Mapping_Servers_Results_by_TOPIC" ref="B15:E30" totalsRowCount="1" headerRowDxfId="287" dataDxfId="286" tableBorderDxfId="285">
  <autoFilter ref="B15:E29" xr:uid="{0880A236-E57A-4381-AD03-8755583B9452}"/>
  <tableColumns count="4">
    <tableColumn id="1" xr3:uid="{935D6CC3-DBAF-4FAF-939B-7A795C60D3A2}" name="Topics" totalsRowLabel="Total" dataDxfId="283" totalsRowDxfId="284"/>
    <tableColumn id="2" xr3:uid="{7A915948-CB13-4BE8-83C8-8849F80F992A}" name="Total severs on premise emissions (kgCO2e)" totalsRowFunction="sum" dataDxfId="281" totalsRowDxfId="282">
      <calculatedColumnFormula>SUM(Mapping_Servers_Results_by_TOPIC[[#This Row],[Backup servers]:[Redundant servers]])</calculatedColumnFormula>
    </tableColumn>
    <tableColumn id="3" xr3:uid="{D5AAD624-998E-4906-A906-752CF111120F}" name="Backup servers" totalsRowFunction="sum" dataDxfId="279" totalsRowDxfId="280">
      <calculatedColumnFormula>SUMIFS(Mapping_Servers_Backup[Total emissions (kgC02e)],Mapping_Servers_Backup[NIST Topic],Mapping_Servers_Results_by_TOPIC[[#This Row],[Topics]],Mapping_Servers_Backup[Scope],Mapping_Servers_Results_by_TOPIC[[#Headers],[Backup servers]])</calculatedColumnFormula>
    </tableColumn>
    <tableColumn id="4" xr3:uid="{0BE70450-05F6-4782-B7B9-A3650DBAFF10}" name="Redundant servers" totalsRowFunction="sum" dataDxfId="277" totalsRowDxfId="278">
      <calculatedColumnFormula>SUMIFS(Mapping_Servers_Backup[Total emissions (kgC02e)],Mapping_Servers_Backup[NIST Topic],Mapping_Servers_Results_by_TOPIC[[#This Row],[Topics]],Mapping_Servers_Backup[Scope],Mapping_Servers_Results_by_TOPIC[[#Headers],[Redundant servers]])</calculatedColumnFormula>
    </tableColumn>
  </tableColumns>
  <tableStyleInfo name="TableStyleLight8"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3CA11B-AE57-41CF-807D-8F521C80AA03}" name="Mapping_Solutions_On_Premise" displayName="Mapping_Solutions_On_Premise" ref="B35:O40" totalsRowShown="0" headerRowDxfId="276" headerRowBorderDxfId="274" tableBorderDxfId="275" totalsRowBorderDxfId="273">
  <autoFilter ref="B35:O40" xr:uid="{113CA11B-AE57-41CF-807D-8F521C80AA03}"/>
  <tableColumns count="14">
    <tableColumn id="1" xr3:uid="{B008EF31-415A-48BD-B509-65E9D76EB3FC}" name="NIST Control" dataDxfId="272"/>
    <tableColumn id="2" xr3:uid="{425E2534-84E8-4D15-B513-65538EC7A7D8}" name="Application ID" dataDxfId="271"/>
    <tableColumn id="8" xr3:uid="{357CCB49-218F-4231-93FA-02D31C59986E}" name="Application name" dataDxfId="270"/>
    <tableColumn id="5" xr3:uid="{FD5CB601-47D8-4D71-A25B-1018D8429EF5}" name="Application description" dataDxfId="269"/>
    <tableColumn id="4" xr3:uid="{76F13EF2-BEC3-45A4-A8BD-59598C432B90}" name="% of the app contributing to this NIST Control" dataDxfId="268"/>
    <tableColumn id="6" xr3:uid="{E014AA3C-184E-408C-9075-DA396DC63BCE}" name="Internal referential" dataDxfId="267"/>
    <tableColumn id="7" xr3:uid="{5C5F478E-F538-4ADB-940A-BBFFC9151568}" name="% of the app contributing to this internal referential" dataDxfId="266"/>
    <tableColumn id="17" xr3:uid="{F1CF4BA5-001C-42C6-9F6E-E7AEAC812A89}" name="NIST Topic" dataDxfId="265">
      <calculatedColumnFormula>_xlfn.XLOOKUP(Mapping_Solutions_On_Premise[[#This Row],[NIST Control]],Referential_NIST_Control[NIST Control],Referential_NIST_Control[NIST Topic])</calculatedColumnFormula>
    </tableColumn>
    <tableColumn id="11" xr3:uid="{5D27F925-98B3-4F49-B398-9C970350088E}" name="Scope 2 NIST carbon emissions (kGCO2e)" dataDxfId="264">
      <calculatedColumnFormula>SUMIF(Software_On_Premise[ID of application],Mapping_Solutions_On_Premise[[#This Row],[Application ID]],Software_On_Premise[Scope 2 (kgCO2e)])*Mapping_Solutions_On_Premise[[#This Row],[% of the app contributing to this NIST Control]]</calculatedColumnFormula>
    </tableColumn>
    <tableColumn id="12" xr3:uid="{A37C7B02-746B-413B-8BA0-50B61C7BBDAB}" name="Scope 3 NIST carbon emissions (kGCO2e)2" dataDxfId="263">
      <calculatedColumnFormula>SUMIF(Software_On_Premise[ID of application],Mapping_Solutions_On_Premise[[#This Row],[Application ID]],Software_On_Premise[Scope 3 (kgCO2e)])*Mapping_Solutions_On_Premise[[#This Row],[% of the app contributing to this NIST Control]]</calculatedColumnFormula>
    </tableColumn>
    <tableColumn id="9" xr3:uid="{8CC290DD-A2FE-4DF4-85B0-8678CEB9E8FF}" name="Total NIST carbon emission (kgCO2e)" dataDxfId="262">
      <calculatedColumnFormula>SUMIF(Software_On_Premise[ID of application],Mapping_Solutions_On_Premise[[#This Row],[Application ID]],Software_On_Premise[Total emissions (kgCO2e)])*Mapping_Solutions_On_Premise[[#This Row],[% of the app contributing to this NIST Control]]</calculatedColumnFormula>
    </tableColumn>
    <tableColumn id="14" xr3:uid="{D15D3A30-073D-44D8-828C-E8EF827A0681}" name="Scope 2 internal referential carbon emissions (kgCO2e)" dataDxfId="261">
      <calculatedColumnFormula>SUMIF(Software_On_Premise[ID of application],Mapping_Solutions_On_Premise[[#This Row],[Application ID]],Software_On_Premise[Scope 2 (kgCO2e)])*Mapping_Solutions_On_Premise[[#This Row],[% of the app contributing to this internal referential]]</calculatedColumnFormula>
    </tableColumn>
    <tableColumn id="13" xr3:uid="{2F1F4982-45D9-439A-86E1-D7D354FCF02F}" name="Scope 3 internal referential carbon emissions (kgCO2e)" dataDxfId="260">
      <calculatedColumnFormula>SUMIF(Software_On_Premise[ID of application],Mapping_Solutions_On_Premise[[#This Row],[Application ID]],Software_On_Premise[Scope 3 (kgCO2e)])*Mapping_Solutions_On_Premise[[#This Row],[% of the app contributing to this internal referential]]</calculatedColumnFormula>
    </tableColumn>
    <tableColumn id="10" xr3:uid="{9A3D3489-9176-48C6-B0C4-FDA6C23AE049}" name="Total internal referential carbon emissions (kgCO2e)" dataDxfId="259">
      <calculatedColumnFormula>SUMIF(Software_On_Premise[ID of application],Mapping_Solutions_On_Premise[[#This Row],[Application ID]],Software_On_Premise[Total emissions (kgCO2e)])*Mapping_Solutions_On_Premise[[#This Row],[% of the app contributing to this internal referential]]</calculatedColumnFormula>
    </tableColumn>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FF1C4F36-B5C0-4EB0-9647-0DCE24C0C93F}" name="Mapping_Solutions_Cloud" displayName="Mapping_Solutions_Cloud" ref="B46:O51" totalsRowShown="0" headerRowDxfId="258" headerRowBorderDxfId="256" tableBorderDxfId="257" totalsRowBorderDxfId="255">
  <autoFilter ref="B46:O51" xr:uid="{FF1C4F36-B5C0-4EB0-9647-0DCE24C0C93F}"/>
  <tableColumns count="14">
    <tableColumn id="14" xr3:uid="{41A92FA6-1645-4B62-95E5-04ACC865ECD7}" name="NIST Control" dataDxfId="254"/>
    <tableColumn id="2" xr3:uid="{94C7CA3A-1964-4249-8099-5E1AD1ED7F0C}" name="Application ID" dataDxfId="253"/>
    <tableColumn id="8" xr3:uid="{3772E6E5-BCEC-43B4-A04D-4ECFEF4E9F66}" name="Application name" dataDxfId="252"/>
    <tableColumn id="5" xr3:uid="{EAD3F2F3-B6E4-461E-8443-7C7E4987DB98}" name="Application description" dataDxfId="251"/>
    <tableColumn id="4" xr3:uid="{6179C576-DA69-4162-A25E-C54EF2D6C899}" name="% of the app contributing to this NIST Control" dataDxfId="250"/>
    <tableColumn id="6" xr3:uid="{9F129ECA-3E99-4C34-945B-6F525FA5F00C}" name="Internal referential" dataDxfId="249"/>
    <tableColumn id="7" xr3:uid="{16B3E717-3D35-40EB-A598-12930F124C55}" name="% of the app contributing to this internal referential" dataDxfId="248"/>
    <tableColumn id="17" xr3:uid="{CDA38954-DA51-4A94-8690-E8C4CF03BE93}" name="NIST Topic" dataDxfId="247">
      <calculatedColumnFormula>_xlfn.XLOOKUP(Mapping_Solutions_Cloud[[#This Row],[NIST Control]],Referential_NIST_Control[NIST Control],Referential_NIST_Control[NIST Topic])</calculatedColumnFormula>
    </tableColumn>
    <tableColumn id="9" xr3:uid="{1383B99D-4D4C-4A8F-B51F-9A6B52CB4F49}" name="Scope 2 NIST carbon emissions (kGCO2e)" dataDxfId="246">
      <calculatedColumnFormula>IFERROR(SUMIF(Software_Cloud_ServerMethod[ID of application],Mapping_Solutions_Cloud[[#This Row],[Application ID]],Software_On_Premise[Scope 2 (kgCO2e)])*Mapping_Solutions_Cloud[[#This Row],[% of the app contributing to this NIST Control]],0)</calculatedColumnFormula>
    </tableColumn>
    <tableColumn id="10" xr3:uid="{5FBA12D1-0A98-463A-AFA9-7747664DD44C}" name="Scope 3 NIST carbon emissions (kGCO2e)2" dataDxfId="245">
      <calculatedColumnFormula>IFERROR(SUMIF(Software_Cloud_ServerMethod[ID of application],Mapping_Solutions_Cloud[[#This Row],[Application ID]],Software_Cloud_ServerMethod[Scope 3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calculatedColumnFormula>
    </tableColumn>
    <tableColumn id="1" xr3:uid="{6749CC31-6469-491C-94C3-550CA766B86D}" name="Total NIST carbon emission (kgCO2e)" dataDxfId="244">
      <calculatedColumnFormula>IFERROR(SUMIF(Software_Cloud_ServerMethod[ID of application],Mapping_Solutions_Cloud[[#This Row],[Application ID]],Software_Cloud_ServerMethod[Total emissions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calculatedColumnFormula>
    </tableColumn>
    <tableColumn id="11" xr3:uid="{89EB81B3-B684-41F1-ABC1-DFED07FE5DF7}" name="Scope 2 internal referential carbon emissions (kgCO2e)" dataDxfId="243">
      <calculatedColumnFormula>IFERROR(SUMIF(Software_Cloud_ServerMethod[ID of application],Mapping_Solutions_Cloud[[#This Row],[Application ID]],Software_On_Premise[Scope 2 (kgCO2e)])*Mapping_Solutions_Cloud[[#This Row],[% of the app contributing to this internal referential]],0)</calculatedColumnFormula>
    </tableColumn>
    <tableColumn id="12" xr3:uid="{638BDC3E-21E1-401F-9C7C-938F54BBC300}" name="Scope 3 internal referential carbon emissions (kgCO2e)" dataDxfId="242">
      <calculatedColumnFormula>IFERROR(SUMIF(Software_Cloud_ServerMethod[ID of application],Mapping_Solutions_Cloud[[#This Row],[Application ID]],Software_Cloud_ServerMethod[Scope 3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calculatedColumnFormula>
    </tableColumn>
    <tableColumn id="13" xr3:uid="{D963125C-8EF3-4DBA-A05D-B085410198AB}" name="Total internal referential carbon emissions (kgCO2e)" dataDxfId="241">
      <calculatedColumnFormula>IFERROR(SUMIF(Software_Cloud_ServerMethod[ID of application],Mapping_Solutions_Cloud[[#This Row],[Application ID]],Software_Cloud_ServerMethod[Total emissions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calculatedColumnFormula>
    </tableColumn>
  </tableColumns>
  <tableStyleInfo name="TableStyleLight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B072F686-02E1-439E-A05F-7D66DB1E887F}" name="Mapping_Solutions_Results_by_TOPIC" displayName="Mapping_Solutions_Results_by_TOPIC" ref="B15:E29" totalsRowShown="0" headerRowDxfId="240" dataDxfId="239" tableBorderDxfId="238">
  <autoFilter ref="B15:E29" xr:uid="{B072F686-02E1-439E-A05F-7D66DB1E887F}"/>
  <tableColumns count="4">
    <tableColumn id="1" xr3:uid="{9FB9A73D-9E1F-4FFA-BEF0-467CDDC972A4}" name="Topics" dataDxfId="237"/>
    <tableColumn id="2" xr3:uid="{D34B8AD1-D4DF-4ECB-A2BF-C8F2661BD439}" name="Total Cyber solution emissions (kgCO2e)" dataDxfId="236">
      <calculatedColumnFormula>SUM(Mapping_Solutions_Results_by_TOPIC[[#This Row],[Cyber dedicated solutions hosted on premise]:[Cyber dedicated solutions hosted on cloud]])</calculatedColumnFormula>
    </tableColumn>
    <tableColumn id="3" xr3:uid="{B3C163F1-29AA-4A40-9D86-2E29BB1F0964}" name="Cyber dedicated solutions hosted on premise" dataDxfId="235">
      <calculatedColumnFormula>SUMIF(Mapping_Solutions_On_Premise[NIST Topic],Mapping_Solutions_Results_by_TOPIC[[#This Row],[Topics]],Mapping_Solutions_On_Premise[Total NIST carbon emission (kgCO2e)])</calculatedColumnFormula>
    </tableColumn>
    <tableColumn id="4" xr3:uid="{CEAF76A2-8AB0-4263-882B-FDDA2056A076}" name="Cyber dedicated solutions hosted on cloud" dataDxfId="234">
      <calculatedColumnFormula>SUMIF(Mapping_Solutions_Cloud[NIST Topic],Mapping_Solutions_Results_by_TOPIC[[#This Row],[Topics]],Mapping_Solutions_Cloud[Total NIST carbon emission (kgCO2e)])</calculatedColumnFormula>
    </tableColumn>
  </tableColumns>
  <tableStyleInfo name="TableStyleLight8"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843EB9C-5240-48A7-8F51-1B9210BD4196}" name="Mapping_Externals_TM" displayName="Mapping_Externals_TM" ref="B34:K39" totalsRowShown="0" headerRowDxfId="233" dataDxfId="232" headerRowBorderDxfId="230" tableBorderDxfId="231" totalsRowBorderDxfId="229">
  <autoFilter ref="B34:K39" xr:uid="{A843EB9C-5240-48A7-8F51-1B9210BD4196}"/>
  <tableColumns count="10">
    <tableColumn id="1" xr3:uid="{0F4AB173-7F85-4339-A3E4-5274504D9DB8}" name="NIST Control" dataDxfId="228"/>
    <tableColumn id="2" xr3:uid="{4C0E4019-DAF1-4656-BFDF-56E8614D9B44}" name="Service ID" dataDxfId="227"/>
    <tableColumn id="8" xr3:uid="{455D7A14-87D1-4F49-AF94-8864CE951222}" name="Service name" dataDxfId="226"/>
    <tableColumn id="5" xr3:uid="{C6375D96-65FD-406C-AF0F-29A7F3398300}" name="Service description" dataDxfId="225"/>
    <tableColumn id="4" xr3:uid="{763BC817-2DB1-47B5-BD1D-56B742CD357F}" name="% of the app contributing _x000a_to this NIST Control" dataDxfId="224"/>
    <tableColumn id="6" xr3:uid="{39E43E05-EB50-41DC-B038-DF704E753FC9}" name="Internal referential" dataDxfId="223"/>
    <tableColumn id="7" xr3:uid="{49789A95-3CB0-4A52-98FE-B97AA0BB87CE}" name="% of the app contributing to this internal referential" dataDxfId="222"/>
    <tableColumn id="16" xr3:uid="{63514BDD-A77D-4914-A0DB-6951D665EEE6}" name="NIST Topic" dataDxfId="221">
      <calculatedColumnFormula>_xlfn.XLOOKUP(Mapping_Externals_TM[[#This Row],[NIST Control]],Referential_NIST_Control[NIST Control],Referential_NIST_Control[NIST Topic])</calculatedColumnFormula>
    </tableColumn>
    <tableColumn id="9" xr3:uid="{8C156D2D-FED1-4E22-AC8C-C7C9FBC4E0FF}" name="NIST carbon emission (kgCO2e)" dataDxfId="220">
      <calculatedColumnFormula>IFERROR(SUMIF(External_TM[ID of service],Mapping_Externals_TM[[#This Row],[Service ID]],External_TM[Total emissions (kgCO2e)])*Mapping_Externals_TM[[#This Row],[% of the app contributing 
to this NIST Control]],0)</calculatedColumnFormula>
    </tableColumn>
    <tableColumn id="10" xr3:uid="{4D8F5A15-7159-49CD-A657-A998DFB4D088}" name="Internal referential carbon emissions (kgCO2e)" dataDxfId="219">
      <calculatedColumnFormula>IFERROR(_xlfn.XLOOKUP(Mapping_Externals_TM[[#This Row],[Service ID]],External_TM[ID of service],External_TM[Total emissions (kgCO2e)])*Mapping_Externals_TM[[#This Row],[% of the app contributing to this internal referential]],0)</calculatedColumnFormula>
    </tableColumn>
  </tableColumns>
  <tableStyleInfo name="TableStyleLight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2B7792BC-CCF9-457A-9410-92BF879628F7}" name="Mapping_Externals_Fixed_Price" displayName="Mapping_Externals_Fixed_Price" ref="B45:K50" totalsRowShown="0" headerRowDxfId="218" dataDxfId="217" headerRowBorderDxfId="215" tableBorderDxfId="216" totalsRowBorderDxfId="214">
  <autoFilter ref="B45:K50" xr:uid="{2B7792BC-CCF9-457A-9410-92BF879628F7}"/>
  <tableColumns count="10">
    <tableColumn id="1" xr3:uid="{038785DA-F89C-4592-9B26-0A507E6A4D43}" name="NIST Control" dataDxfId="213"/>
    <tableColumn id="2" xr3:uid="{674D0FF1-C994-46C8-9DA7-607737DB38A7}" name="Service ID" dataDxfId="212"/>
    <tableColumn id="8" xr3:uid="{CF2DA46C-924C-425C-8CD8-BBBED86763A7}" name="Service name" dataDxfId="211"/>
    <tableColumn id="5" xr3:uid="{2E4CA45C-183C-442D-A991-709C8CB29ECC}" name="Service description" dataDxfId="210"/>
    <tableColumn id="4" xr3:uid="{6092AF3D-A317-424E-BF6A-9BE07CD47A8C}" name="% of the app contributing _x000a_to this NIST Control" dataDxfId="209"/>
    <tableColumn id="6" xr3:uid="{5E55ED83-3C01-4A58-9E83-FF88804E929C}" name="Internal referential" dataDxfId="208"/>
    <tableColumn id="7" xr3:uid="{9F3B2393-4574-482A-8B6E-B74B7490111F}" name="% of the app contributing to this internal referential" dataDxfId="207"/>
    <tableColumn id="16" xr3:uid="{3272255E-5050-4E9F-AD1F-13DBD3603E2D}" name="NIST Topic" dataDxfId="206">
      <calculatedColumnFormula>_xlfn.XLOOKUP(Mapping_Externals_Fixed_Price[[#This Row],[NIST Control]],Referential_NIST_Control[NIST Control],Referential_NIST_Control[NIST Topic])</calculatedColumnFormula>
    </tableColumn>
    <tableColumn id="9" xr3:uid="{7144ACA5-479F-405C-8E92-0417B87223C2}" name="NIST carbon emission (kgCO2e)" dataDxfId="205">
      <calculatedColumnFormula>IFERROR(SUMIF(External_Fixed_Prices[ID of service],Mapping_Externals_Fixed_Price[[#This Row],[Service ID]],External_Fixed_Prices[Total emissions (kgCO2e)])*Mapping_Externals_Fixed_Price[[#This Row],[% of the app contributing 
to this NIST Control]],0)</calculatedColumnFormula>
    </tableColumn>
    <tableColumn id="10" xr3:uid="{3F5EB6FD-ACE8-410D-846B-B97CCCCD2119}" name="Internal referential carbon emissions (kgCO2e)" dataDxfId="204">
      <calculatedColumnFormula>IFERROR(_xlfn.XLOOKUP(Mapping_Externals_Fixed_Price[[#This Row],[Service ID]],External_Fixed_Prices[ID of service],External_Fixed_Prices[Total emissions (kgCO2e)])*Mapping_Externals_Fixed_Price[[#This Row],[% of the app contributing to this internal referential]],0)</calculatedColumnFormula>
    </tableColumn>
  </tableColumns>
  <tableStyleInfo name="TableStyleLight8"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D05576D-D476-47D9-AE26-DA757B1E9826}" name="Mapping_External_Results_by_TOPIC" displayName="Mapping_External_Results_by_TOPIC" ref="B15:E29" totalsRowShown="0" headerRowDxfId="203" dataDxfId="202" tableBorderDxfId="201">
  <autoFilter ref="B15:E29" xr:uid="{3D05576D-D476-47D9-AE26-DA757B1E9826}"/>
  <tableColumns count="4">
    <tableColumn id="1" xr3:uid="{B2AB42BB-64F5-4C9C-842A-4326F31ECDED}" name="Topics" dataDxfId="200"/>
    <tableColumn id="2" xr3:uid="{7964539D-9A5D-4009-B47B-FCFA6D73776F}" name="Total External services emissions (kgCO2e)" dataDxfId="199">
      <calculatedColumnFormula>SUM(Mapping_External_Results_by_TOPIC[[#This Row],[T&amp;M Services dedicated to cyber]:[Cyber Fixed Price Services dedicated to cyber]])</calculatedColumnFormula>
    </tableColumn>
    <tableColumn id="3" xr3:uid="{1CEC38C1-7298-44F1-B27D-12BB2F9584CE}" name="T&amp;M Services dedicated to cyber" dataDxfId="198">
      <calculatedColumnFormula>SUMIF(Mapping_Externals_TM[NIST Topic],Mapping_External_Results_by_TOPIC[[#This Row],[Topics]],Mapping_Externals_TM[NIST carbon emission (kgCO2e)])</calculatedColumnFormula>
    </tableColumn>
    <tableColumn id="4" xr3:uid="{56871C13-D157-423B-83F2-6CF3EBBE8C2D}" name="Cyber Fixed Price Services dedicated to cyber" dataDxfId="197">
      <calculatedColumnFormula>SUMIF(Mapping_Externals_Fixed_Price[NIST Topic],Mapping_External_Results_by_TOPIC[[#This Row],[Topics]],Mapping_Externals_Fixed_Price[NIST carbon emission (kgCO2e)])</calculatedColumnFormula>
    </tableColumn>
  </tableColumns>
  <tableStyleInfo name="TableStyleLight8"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E60D692-4930-429B-A9A1-E5CF1A655F88}" name="Mapping_Travel" displayName="Mapping_Travel" ref="B33:F36" totalsRowShown="0" headerRowBorderDxfId="195" tableBorderDxfId="196" totalsRowBorderDxfId="194">
  <autoFilter ref="B33:F36" xr:uid="{0E60D692-4930-429B-A9A1-E5CF1A655F88}"/>
  <tableColumns count="5">
    <tableColumn id="5" xr3:uid="{05E97A00-A395-4456-A09B-7FA2DEDAB66C}" name="Type of transportation" dataDxfId="193"/>
    <tableColumn id="1" xr3:uid="{B2A4F3E7-C9ED-4790-93E2-DCD6AAC46876}" name="Internal referential" dataDxfId="192"/>
    <tableColumn id="7" xr3:uid="{D94ACA17-28E0-4812-9C1C-69058F8EDEB1}" name="NIST Control" dataDxfId="191"/>
    <tableColumn id="8" xr3:uid="{58806DC6-CE64-41D0-8158-502D4DB11FFE}" name="NIST Topic" dataDxfId="190">
      <calculatedColumnFormula>_xlfn.XLOOKUP(Mapping_Travel[[#This Row],[NIST Control]],Referential_NIST_Control[NIST Control],Referential_NIST_Control[NIST Topic])</calculatedColumnFormula>
    </tableColumn>
    <tableColumn id="4" xr3:uid="{64096691-EA32-4602-881D-28172370368F}" name="Total emissions (kgC02e)" dataDxfId="189">
      <calculatedColumnFormula>SUMIF(Travel[Type of transportation],Mapping_Travel[[#This Row],[Type of transportation]],Travel[Total emissions (kgC02e)])</calculatedColumnFormula>
    </tableColumn>
  </tableColumns>
  <tableStyleInfo name="TableStyleLight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50CCF737-F0EE-458C-943A-DC63972D6A4A}" name="Mapping_Travel_Results_by_TOPIC" displayName="Mapping_Travel_Results_by_TOPIC" ref="B15:C30" totalsRowCount="1" headerRowDxfId="188" tableBorderDxfId="187">
  <autoFilter ref="B15:C29" xr:uid="{50CCF737-F0EE-458C-943A-DC63972D6A4A}"/>
  <tableColumns count="2">
    <tableColumn id="1" xr3:uid="{14F53F66-8244-465A-8F32-C7CE4B995FE0}" name="Topics" totalsRowLabel="Total" dataDxfId="185" totalsRowDxfId="186"/>
    <tableColumn id="2" xr3:uid="{C6FE19BC-0C29-43D7-9042-C8539156CE78}" name="Total Travel (kgCO2e)" totalsRowFunction="sum" dataDxfId="183" totalsRowDxfId="184">
      <calculatedColumnFormula>SUMIF(Mapping_Travel[NIST Topic],Mapping_Travel_Results_by_TOPIC[[#This Row],[Topics]],Mapping_Travel[Total emissions (kgC02e)])</calculatedColumnFormula>
    </tableColumn>
  </tableColumns>
  <tableStyleInfo name="TableStyleLight8"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712AB85-34A9-40BA-8878-A2E39A2F782B}" name="Mapping_Non_Cyber_Workstation_Laptop" displayName="Mapping_Non_Cyber_Workstation_Laptop" ref="B33:I38" totalsRowShown="0" headerRowDxfId="182" headerRowBorderDxfId="180" tableBorderDxfId="181">
  <autoFilter ref="B33:I38" xr:uid="{D38FD372-162A-4006-ADDF-9863B233DC4E}"/>
  <tableColumns count="8">
    <tableColumn id="3" xr3:uid="{0A028ED1-4D08-4FC9-8CF0-61C420145FDD}" name="Scope" dataDxfId="179"/>
    <tableColumn id="4" xr3:uid="{4653B5EA-691B-4F9C-9B0E-EB907260E060}" name="Internal referential" dataDxfId="178"/>
    <tableColumn id="5" xr3:uid="{50E4D012-9A87-4F72-AB73-767BA51FEE8C}" name="NIST Control" dataDxfId="177"/>
    <tableColumn id="14" xr3:uid="{136BFEDD-5080-41DE-9163-9AFB4102CC34}" name="NIST Topic" dataDxfId="176">
      <calculatedColumnFormula>_xlfn.XLOOKUP(Mapping_Non_Cyber_Workstation_Laptop[[#This Row],[NIST Control]],Referential_NIST_Control[NIST Control],Referential_NIST_Control[NIST Topic])</calculatedColumnFormula>
    </tableColumn>
    <tableColumn id="2" xr3:uid="{0C68EA72-C1D8-4BBC-8E60-E2CDA1F35505}" name="% Dedicated to cyber" dataDxfId="175"/>
    <tableColumn id="9" xr3:uid="{B79F27F2-6316-41E9-8A72-D239419D3643}" name="Scope 2 (kgC02e)" dataDxfId="174"/>
    <tableColumn id="10" xr3:uid="{095449B9-35B5-400E-9E47-A93448A20CDA}" name="Scope 3 (kgC02e)" dataDxfId="173"/>
    <tableColumn id="11" xr3:uid="{CC26A2B3-8624-403D-82B0-B8F41EC1343B}" name="Total emissions (kgC02e)" dataDxfId="172">
      <calculatedColumnFormula>Mapping_Non_Cyber_Workstation_Laptop[[#This Row],[Scope 2 (kgC02e)]]+Mapping_Non_Cyber_Workstation_Laptop[[#This Row],[Scope 3 (kgC02e)]]</calculatedColumnFormula>
    </tableColumn>
  </tableColumns>
  <tableStyleInfo name="TableStyleLight8"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A1B2A81-0AFF-4723-8673-B84D07C662D2}" name="Mapping_Non_Cyber_VDI" displayName="Mapping_Non_Cyber_VDI" ref="B51:H53" totalsRowShown="0" headerRowDxfId="171" headerRowBorderDxfId="169" tableBorderDxfId="170">
  <autoFilter ref="B51:H53" xr:uid="{DD40D82B-EC22-4A09-8799-6E700DE782CA}"/>
  <tableColumns count="7">
    <tableColumn id="3" xr3:uid="{B2B0C5DE-8094-4630-90C7-04C8062C8ED4}" name="Scope" dataDxfId="168"/>
    <tableColumn id="4" xr3:uid="{98E7F775-7CAD-49EA-831D-9BE9F02B882C}" name="Internal referential" dataDxfId="167"/>
    <tableColumn id="2" xr3:uid="{2B7B3B33-1EDA-4866-8E2E-BF30EFB05E22}" name="NIST Control" dataDxfId="166"/>
    <tableColumn id="13" xr3:uid="{5CBAFC8B-6654-4B26-8EC2-40E64FB56A68}" name="NIST Topic" dataDxfId="165">
      <calculatedColumnFormula>_xlfn.XLOOKUP(Mapping_Non_Cyber_VDI[[#This Row],[NIST Control]],Referential_NIST_Control[NIST Control],Referential_NIST_Control[NIST Topic])</calculatedColumnFormula>
    </tableColumn>
    <tableColumn id="9" xr3:uid="{C24868BC-2999-4FEE-A8E8-793CD965AC35}" name="Scope 2 (kgC02e)" dataDxfId="164">
      <calculatedColumnFormula>'1.7 Non-cyber equipments'!H31</calculatedColumnFormula>
    </tableColumn>
    <tableColumn id="10" xr3:uid="{7215CCAE-693D-448D-BE91-A0249B74EB09}" name="Scope 3 (kgC02e)" dataDxfId="163">
      <calculatedColumnFormula>'1.7 Non-cyber equipments'!I31</calculatedColumnFormula>
    </tableColumn>
    <tableColumn id="11" xr3:uid="{4AF7347A-2389-4458-8CCB-121C6A90CC80}" name="Total emissions (kgC02e)" dataDxfId="162">
      <calculatedColumnFormula>Mapping_Non_Cyber_VDI[[#This Row],[Scope 2 (kgC02e)]]+Mapping_Non_Cyber_VDI[[#This Row],[Scope 3 (kgC02e)]]</calculatedColumnFormula>
    </tableColumn>
  </tableColumns>
  <tableStyleInfo name="TableStyleLight8"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6013368-9E96-45E2-AB3E-132B4C73B628}" name="Mapping_Non_Cyber_Results_by_TOPIC" displayName="Mapping_Non_Cyber_Results_by_TOPIC" ref="B15:G30" totalsRowCount="1" headerRowDxfId="161" dataDxfId="160">
  <autoFilter ref="B15:G29" xr:uid="{483EE77C-FECB-46D0-A910-481B00ED8A3A}"/>
  <tableColumns count="6">
    <tableColumn id="1" xr3:uid="{1675A017-801B-4259-AA8E-1011B2E2574C}" name="NIST Control" totalsRowLabel="Total"/>
    <tableColumn id="2" xr3:uid="{29FA26FC-CA1A-4958-B997-4411BC09BDD9}" name="Total Log and Antivirus for non cybe equipments emissions (kgCO2e)" totalsRowFunction="sum" dataDxfId="158" totalsRowDxfId="159">
      <calculatedColumnFormula>SUM(Mapping_Non_Cyber_Results_by_TOPIC[[#This Row],[Workstation_Laptop]:[Non Cyber Servers]])</calculatedColumnFormula>
    </tableColumn>
    <tableColumn id="3" xr3:uid="{9F4B564B-5BD5-4BDE-AAC1-2077F33A3E3C}" name="Workstation_Laptop" totalsRowFunction="sum" dataDxfId="156" totalsRowDxfId="157">
      <calculatedColumnFormula>SUMIF(Mapping_Non_Cyber_Workstation_Laptop[NIST Topic],Mapping_Non_Cyber_Results_by_TOPIC[[#This Row],[NIST Control]],Mapping_Non_Cyber_Workstation_Laptop[Total emissions (kgC02e)])</calculatedColumnFormula>
    </tableColumn>
    <tableColumn id="7" xr3:uid="{820AF5DF-26F9-48D2-B65C-F2DBC5AE7C5B}" name="Workstation_Desktop" totalsRowFunction="sum" dataDxfId="154" totalsRowDxfId="155">
      <calculatedColumnFormula>SUMIF(Mapping_Non_Cyber_Workstation_Desktop[NIST Topic],Mapping_Non_Cyber_Results_by_TOPIC[[#This Row],[NIST Control]],Mapping_Non_Cyber_Workstation_Desktop[Total emissions (kgC02e)])</calculatedColumnFormula>
    </tableColumn>
    <tableColumn id="4" xr3:uid="{212EF582-A61D-408D-AFB1-ACF100B70EC2}" name="VDI" totalsRowFunction="sum" dataDxfId="152" totalsRowDxfId="153">
      <calculatedColumnFormula>SUMIF(Mapping_Non_Cyber_VDI[NIST Topic],Mapping_Non_Cyber_Results_by_TOPIC[[#This Row],[NIST Control]],Mapping_Non_Cyber_VDI[Total emissions (kgC02e)])</calculatedColumnFormula>
    </tableColumn>
    <tableColumn id="5" xr3:uid="{86C1FB89-5339-45A6-8A84-669CDB9E471A}" name="Non Cyber Servers" totalsRowFunction="custom" dataDxfId="150" totalsRowDxfId="151">
      <calculatedColumnFormula>SUMIF(Mapping_Non_Cyber_Servers[NIST Topic],Mapping_Non_Cyber_Results_by_TOPIC[[#This Row],[NIST Control]],Mapping_Non_Cyber_Servers[Total emissions (kgC02e)])</calculatedColumnFormula>
      <totalsRowFormula>SUBTOTAL(109,Mapping_Non_Cyber_Results_by_TOPIC[Non Cyber Servers])</totalsRowFormula>
    </tableColumn>
  </tableColumns>
  <tableStyleInfo name="TableStyleLight8"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897C450-A163-472A-BA25-12D718A9BE47}" name="Mapping_Non_Cyber_Workstation_Desktop" displayName="Mapping_Non_Cyber_Workstation_Desktop" ref="B42:I47" totalsRowShown="0" headerRowDxfId="149" headerRowBorderDxfId="147" tableBorderDxfId="148">
  <autoFilter ref="B42:I47" xr:uid="{C39D8349-E1C0-47B0-8F33-2F08BA7139D9}"/>
  <tableColumns count="8">
    <tableColumn id="3" xr3:uid="{5D0AAA6E-B50B-4726-AECB-20841C271C86}" name="Scope" dataDxfId="146"/>
    <tableColumn id="4" xr3:uid="{EF90DDD3-4124-4DF9-A3AD-02C5558DB1B7}" name="Internal referential" dataDxfId="145"/>
    <tableColumn id="5" xr3:uid="{DCF5F57B-4A53-4C27-A1BA-2C71760F73E9}" name="NIST Control" dataDxfId="144"/>
    <tableColumn id="14" xr3:uid="{D9525274-E899-487E-84C4-1BB1643F7009}" name="NIST Topic" dataDxfId="143">
      <calculatedColumnFormula>_xlfn.XLOOKUP(Mapping_Non_Cyber_Workstation_Desktop[[#This Row],[NIST Control]],Referential_NIST_Control[NIST Control],Referential_NIST_Control[NIST Topic])</calculatedColumnFormula>
    </tableColumn>
    <tableColumn id="2" xr3:uid="{A4F53E90-95DC-4561-83DA-AE6AF4B66377}" name="% Dedicated to cyber" dataDxfId="142"/>
    <tableColumn id="9" xr3:uid="{CA5C7A09-EE57-4842-984F-DA339B7776B4}" name="Scope 2 (kgC02e)" dataDxfId="141"/>
    <tableColumn id="10" xr3:uid="{61ABD584-71E3-4D8F-980F-C6B5B232ADB3}" name="Scope 3 (kgC02e)" dataDxfId="140"/>
    <tableColumn id="11" xr3:uid="{0AF5263F-89F2-4B6D-87FC-7B8A0A9CF457}" name="Total emissions (kgC02e)" dataDxfId="139">
      <calculatedColumnFormula>Mapping_Non_Cyber_Workstation_Desktop[[#This Row],[Scope 2 (kgC02e)]]+Mapping_Non_Cyber_Workstation_Desktop[[#This Row],[Scope 3 (kgC02e)]]</calculatedColumnFormula>
    </tableColumn>
  </tableColumns>
  <tableStyleInfo name="TableStyleLight8"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166B7BC1-5877-4E70-955A-7B6D3CE7DCF6}" name="Mapping_Non_Cyber_Servers" displayName="Mapping_Non_Cyber_Servers" ref="B58:I60" totalsRowShown="0" headerRowDxfId="138" headerRowBorderDxfId="136" tableBorderDxfId="137">
  <autoFilter ref="B58:I60" xr:uid="{166B7BC1-5877-4E70-955A-7B6D3CE7DCF6}"/>
  <tableColumns count="8">
    <tableColumn id="3" xr3:uid="{85612EE9-5DFC-4FA7-B7F8-A4E3A4A75852}" name="Scope" dataDxfId="135"/>
    <tableColumn id="4" xr3:uid="{8F096905-3810-40F6-8CBF-9BE216AD352D}" name="Internal referential" dataDxfId="134"/>
    <tableColumn id="5" xr3:uid="{ED01C645-5277-4047-83C7-CF9CB7124A3A}" name="NIST Control" dataDxfId="133"/>
    <tableColumn id="15" xr3:uid="{BA25CCF4-2CCC-41B5-B240-1149E4BBAB50}" name="NIST Topic" dataDxfId="132">
      <calculatedColumnFormula>_xlfn.XLOOKUP(Mapping_Non_Cyber_Servers[[#This Row],[NIST Control]],Referential_NIST_Control[NIST Control],Referential_NIST_Control[NIST Topic])</calculatedColumnFormula>
    </tableColumn>
    <tableColumn id="8" xr3:uid="{11F52D20-A014-46E1-B0C1-CA7B701F5A4D}" name="% Dedicated to cyber" dataDxfId="131">
      <calculatedColumnFormula>'3.3 Assumptions'!D17</calculatedColumnFormula>
    </tableColumn>
    <tableColumn id="9" xr3:uid="{C6C4B1B9-17C7-463A-BB78-F5EB9E4D36A5}" name="Scope 2 (kgC02e)" dataDxfId="130">
      <calculatedColumnFormula>SUM(Non_Cyber_Servers[Scope 2 (kgCO2e)])*Mapping_Non_Cyber_Servers[[#This Row],[% Dedicated to cyber]]</calculatedColumnFormula>
    </tableColumn>
    <tableColumn id="10" xr3:uid="{6E834B94-E183-460B-BAE4-F1E0A5F5D2ED}" name="Scope 3 (kgC02e)" dataDxfId="129">
      <calculatedColumnFormula>SUM(Non_Cyber_Servers[Scope 3 (kgCO2e)])*Mapping_Non_Cyber_Servers[[#This Row],[% Dedicated to cyber]]</calculatedColumnFormula>
    </tableColumn>
    <tableColumn id="14" xr3:uid="{A4A22947-8F31-4B13-A029-2143E850814C}" name="Total emissions (kgC02e)" dataDxfId="128">
      <calculatedColumnFormula>Mapping_Non_Cyber_Servers[[#This Row],[Scope 2 (kgC02e)]]+Mapping_Non_Cyber_Servers[[#This Row],[Scope 3 (kgC02e)]]</calculatedColumnFormula>
    </tableColumn>
  </tableColumns>
  <tableStyleInfo name="TableStyleLight8"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3E2FB5-39DF-4D2C-AF7E-123FF934D0C5}" name="Mix_Energétique" displayName="Mix_Energétique" ref="B4:D144" totalsRowShown="0" headerRowDxfId="127" dataDxfId="126" tableBorderDxfId="125">
  <autoFilter ref="B4:D144" xr:uid="{0E6315BF-E54B-449C-BFAD-A0282335C124}"/>
  <sortState xmlns:xlrd2="http://schemas.microsoft.com/office/spreadsheetml/2017/richdata2" ref="B5:C144">
    <sortCondition ref="B4:B144"/>
  </sortState>
  <tableColumns count="3">
    <tableColumn id="1" xr3:uid="{E314BCED-8B35-4824-BC02-311B885A3A75}" name="Pays" dataDxfId="124"/>
    <tableColumn id="2" xr3:uid="{1454FA65-593D-4D43-9129-6370BB9BC8CC}" name="kgCO2e / kWh" dataDxfId="123"/>
    <tableColumn id="3" xr3:uid="{A0584BFA-63D6-4FB3-B090-51246133CDDC}" name="Comment" dataDxfId="122"/>
  </tableColumns>
  <tableStyleInfo name="TableStyleMedium2"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B05AE9-D860-487A-91FC-E3247025FA30}" name="Tableau3" displayName="Tableau3" ref="C7:K9" totalsRowShown="0" headerRowDxfId="121" tableBorderDxfId="120">
  <autoFilter ref="C7:K9" xr:uid="{6DB05AE9-D860-487A-91FC-E3247025FA30}"/>
  <tableColumns count="9">
    <tableColumn id="1" xr3:uid="{A693A9CE-3F3E-4EEB-9859-26309BB5D985}" name="Name"/>
    <tableColumn id="2" xr3:uid="{5272CFE1-2E5C-44FB-97D1-565E1F33B785}" name="Source"/>
    <tableColumn id="3" xr3:uid="{3B4D3F83-15D1-4B8F-AC31-07A90A3BB429}" name="Parameter"/>
    <tableColumn id="4" xr3:uid="{7E827EB3-76C2-4E24-ABD6-1D612E65C081}" name="Average Lifespan (years)"/>
    <tableColumn id="5" xr3:uid="{FA7683A4-D4BE-44E4-870B-75C141ABFD4D}" name="Manufacturing (kCO2e)"/>
    <tableColumn id="6" xr3:uid="{EE59E038-90A7-440A-8EB4-44BB8AE87C34}" name="Consumption (kWh/year)"/>
    <tableColumn id="7" xr3:uid="{059F2256-38F8-4A00-8CE1-2325A98399C7}" name="Description"/>
    <tableColumn id="9" xr3:uid="{A2DF4BC4-998B-48A1-8ECD-1D52F715DA5A}" name="Link 1"/>
    <tableColumn id="10" xr3:uid="{334E57D2-C96A-4654-A08E-AF142D1F9216}" name="Link 2"/>
  </tableColumns>
  <tableStyleInfo name="TableStyleLight8"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95E620A-0342-4465-ABE6-C20524D4ECC6}" name="Tableau13" displayName="Tableau13" ref="C13:K15" totalsRowShown="0" headerRowDxfId="119" tableBorderDxfId="118">
  <autoFilter ref="C13:K15" xr:uid="{895E620A-0342-4465-ABE6-C20524D4ECC6}"/>
  <tableColumns count="9">
    <tableColumn id="1" xr3:uid="{EA211121-1F38-47D4-AD48-3914C666F2B6}" name="Name"/>
    <tableColumn id="2" xr3:uid="{943DE098-65A7-4472-907C-F17085D3A3D9}" name="Source"/>
    <tableColumn id="3" xr3:uid="{6865ED23-A563-4565-845C-F557E5C580A4}" name="Parameter"/>
    <tableColumn id="4" xr3:uid="{84E901F3-1DF8-4193-B1EA-258ED2325397}" name="Manufacturing + use (kCO2e)"/>
    <tableColumn id="5" xr3:uid="{CE61AF89-C0E6-485D-8753-06871FAEDEE9}" name="Manufacturing (kCO2e)"/>
    <tableColumn id="6" xr3:uid="{D042D3CF-F944-4D4C-9429-4293882195E0}" name="Consumption (kWh/year)"/>
    <tableColumn id="7" xr3:uid="{AE314951-052E-4BDF-9362-FF67C60D52A4}" name="Description"/>
    <tableColumn id="9" xr3:uid="{B2AFA748-95E0-493C-BD89-3F6BC17E2729}" name="Link 1"/>
    <tableColumn id="10" xr3:uid="{B1EB4B38-A5CE-4DAD-A072-57E97D07E9FD}" name="Link 2"/>
  </tableColumns>
  <tableStyleInfo name="TableStyleLight8"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7BEDFD7-B958-4CA6-918E-727AA8B1F8AF}" name="Tableau24" displayName="Tableau24" ref="C21:K23" totalsRowShown="0" headerRowDxfId="117" tableBorderDxfId="116">
  <autoFilter ref="C21:K23" xr:uid="{F7BEDFD7-B958-4CA6-918E-727AA8B1F8AF}"/>
  <tableColumns count="9">
    <tableColumn id="1" xr3:uid="{E5E33865-C4FD-4EE5-8286-D4D521EBF012}" name="Name"/>
    <tableColumn id="2" xr3:uid="{14DA234D-1A90-49B3-B8AC-F19FC0619D56}" name="Source"/>
    <tableColumn id="3" xr3:uid="{24B47C1B-5075-4024-B517-CFC6957F3CC2}" name="Parameter"/>
    <tableColumn id="4" xr3:uid="{16E71EBC-976A-4A84-A497-E13BF5840A37}" name="Average Lifespan (years)"/>
    <tableColumn id="5" xr3:uid="{685A514A-E3AE-4CA5-8992-E93BBE351144}" name="Manufacturing (kCO2e)"/>
    <tableColumn id="6" xr3:uid="{50832A6C-45C8-477F-8D02-122D5A16259A}" name="Consumption (kWh/year)"/>
    <tableColumn id="7" xr3:uid="{DF2F063C-36B8-418A-9BAB-3CC95A5CFB3F}" name="Description"/>
    <tableColumn id="9" xr3:uid="{7460E5D0-3332-4FFF-BF2D-B03EB16DAB5F}" name="Link 1"/>
    <tableColumn id="10" xr3:uid="{05159D2D-C02F-4954-BF4D-1AAE45AFFCD6}" name="Link 2"/>
  </tableColumns>
  <tableStyleInfo name="TableStyleLight8"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A29B3C7-E0AC-42E2-996D-B8CD0B5CDF18}" name="Tableau25" displayName="Tableau25" ref="C26:K28" totalsRowShown="0" headerRowDxfId="115" tableBorderDxfId="114">
  <autoFilter ref="C26:K28" xr:uid="{7A29B3C7-E0AC-42E2-996D-B8CD0B5CDF18}"/>
  <tableColumns count="9">
    <tableColumn id="1" xr3:uid="{EDFF6838-90EA-4357-8EBF-F645EB1FB7C9}" name="Name">
      <calculatedColumnFormula>IF('3.2 Emission Factors'!$D27&lt;&gt;"",""&amp;$C$25&amp;IF('3.2 Emission Factors'!$E27&lt;&gt;"",""&amp;" - "&amp;'3.2 Emission Factors'!$E27,"")&amp;" - "&amp;'3.2 Emission Factors'!$D27,"")</calculatedColumnFormula>
    </tableColumn>
    <tableColumn id="2" xr3:uid="{2A22E4B8-CE62-4EAB-81E1-7C18304D8296}" name="Source"/>
    <tableColumn id="3" xr3:uid="{7BED991C-0770-48F6-A0CE-0E29E55AE26E}" name="Parameter"/>
    <tableColumn id="4" xr3:uid="{FD07BC17-702A-4A51-B64F-6DCA489C3017}" name="Average Lifespan (years)"/>
    <tableColumn id="5" xr3:uid="{A8A2D3E4-627A-4888-B2D1-49483ACBF776}" name="Manufacturing (kCO2e)"/>
    <tableColumn id="6" xr3:uid="{63119634-1992-493E-8369-E00F52347E4E}" name="Consumption (kWh/year)"/>
    <tableColumn id="7" xr3:uid="{6AF10276-E9F7-4A0F-8048-2E520CB48B98}" name="Description"/>
    <tableColumn id="9" xr3:uid="{E4726005-E8A7-4E61-B206-2FA1AA1B01CB}" name="Link 1"/>
    <tableColumn id="10" xr3:uid="{4A4A430B-D31E-4AAE-8392-AA52060CE6FA}" name="Link 2"/>
  </tableColumns>
  <tableStyleInfo name="TableStyleLight8"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4383AFF-5616-4354-AE20-74E43AEF99E2}" name="Tableau27" displayName="Tableau27" ref="C33:K35" totalsRowShown="0" headerRowDxfId="113">
  <autoFilter ref="C33:K35" xr:uid="{34383AFF-5616-4354-AE20-74E43AEF99E2}"/>
  <tableColumns count="9">
    <tableColumn id="1" xr3:uid="{D09846EE-E575-4F4F-8E54-3880F963D9E1}" name="Name"/>
    <tableColumn id="2" xr3:uid="{5B7E9701-3347-44C1-BD75-E307147DC35C}" name="Source"/>
    <tableColumn id="3" xr3:uid="{258B8D51-FC36-4981-A642-27094FC2599E}" name="Parameter"/>
    <tableColumn id="4" xr3:uid="{B4BCDD5F-73CF-42EB-8FCD-8F416F3C5E8F}" name="Manufacturing + use (kCO2e)"/>
    <tableColumn id="5" xr3:uid="{CD1C4DDC-9E2D-4828-82A1-4F5D126D5ABC}" name="Manufacturing (kCO2e)"/>
    <tableColumn id="6" xr3:uid="{B269E1DD-6283-46B1-BF27-882DBD245865}" name="Consumption (kWh/year)"/>
    <tableColumn id="7" xr3:uid="{6D97049D-A254-4826-9893-B8F9F0F1EF5B}" name="Description"/>
    <tableColumn id="9" xr3:uid="{8CCBF41A-93DA-4B0A-A01E-BBEF70451DB4}" name="Link 1"/>
    <tableColumn id="10" xr3:uid="{90086DC7-78F8-479B-8823-C13B22C127BE}" name="Link 2"/>
  </tableColumns>
  <tableStyleInfo name="TableStyleLight8"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6A311CC-9CEA-485A-9C7A-A39C00F4A0C0}" name="Tableau29" displayName="Tableau29" ref="C45:R53" totalsRowShown="0" headerRowDxfId="112" dataDxfId="111">
  <autoFilter ref="C45:R53" xr:uid="{C6A311CC-9CEA-485A-9C7A-A39C00F4A0C0}"/>
  <tableColumns count="16">
    <tableColumn id="1" xr3:uid="{1A312A9F-B2AA-4B34-99F5-623251175E68}" name="Name" dataDxfId="110"/>
    <tableColumn id="2" xr3:uid="{E1D95E11-9C58-48EC-9F1E-3695AC38D5F2}" name="Source" dataDxfId="109"/>
    <tableColumn id="3" xr3:uid="{C0FC5728-84D0-4467-A825-C632D0A97A42}" name="Type" dataDxfId="108"/>
    <tableColumn id="4" xr3:uid="{34ECE3AF-0989-475F-89C9-EDE067FE3F94}" name=" [Servers] Manufacturing emissions (kgCO2e/unit)"/>
    <tableColumn id="5" xr3:uid="{3062035A-4496-47F8-8341-2D2011F6F47B}" name=" [Servers] RAM (GB)" dataDxfId="107"/>
    <tableColumn id="6" xr3:uid="{1436A480-6160-417C-9E2A-3F9F6E97EBA2}" name="[Servers] Manufacturing emissions: RAM factor (kgCO2e/GB)"/>
    <tableColumn id="7" xr3:uid="{640028C9-5EDF-45AD-928B-E2D5103719E8}" name=" [Servers] CPU (unit)" dataDxfId="106"/>
    <tableColumn id="8" xr3:uid="{572D7C6A-E554-4339-815D-7212E43909F7}" name="[Servers] Upstream emissions: Boavizta CPU factor (kgCO2e/CPU units)"/>
    <tableColumn id="9" xr3:uid="{409E07E5-E31D-4EAF-9D46-7D6EE7E2E6E6}" name="Manufacturing + use (kCO2e)" dataDxfId="105"/>
    <tableColumn id="10" xr3:uid="{56790E27-7467-4705-9743-FA571FF2BF39}" name="Consumption (kWh/year)"/>
    <tableColumn id="11" xr3:uid="{2C5592FE-433D-4014-9373-8F620F794726}" name="Consumption: CPU factor (CPU kWh/year/unit)"/>
    <tableColumn id="16" xr3:uid="{E3D0E4F0-6FEB-46DC-B495-70B6D9EA1467}" name="Manufacturing of HDD (kgCO2e)"/>
    <tableColumn id="17" xr3:uid="{7D3FC0D3-E02F-4E07-A041-7A00E053B5B5}" name="Manufacturing SSD (kgCO2e/GB)"/>
    <tableColumn id="12" xr3:uid="{9CD424AD-A8DD-4D53-AFD6-D26381356391}" name="Description" dataDxfId="104"/>
    <tableColumn id="14" xr3:uid="{EBFE8741-40A9-4E69-8435-EF4DF231E669}" name="Link 1"/>
    <tableColumn id="15" xr3:uid="{421EA108-68A7-417E-8CA9-74DEA00D399E}" name="Link 2" dataDxfId="103"/>
  </tableColumns>
  <tableStyleInfo name="TableStyleLight8"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B789519-47F5-465C-A11E-64239E44227B}" name="Tableau30" displayName="Tableau30" ref="C67:K69" totalsRowShown="0" headerRowDxfId="102" tableBorderDxfId="101">
  <autoFilter ref="C67:K69" xr:uid="{AB789519-47F5-465C-A11E-64239E44227B}"/>
  <tableColumns count="9">
    <tableColumn id="1" xr3:uid="{FAC697C6-4702-4045-9799-10B2C885CB13}" name="Name"/>
    <tableColumn id="2" xr3:uid="{BF5897A3-39D9-4825-B740-7DDEB021EB7B}" name="Source"/>
    <tableColumn id="3" xr3:uid="{3D8951E2-B08B-4053-A38E-A56CD4C89706}" name="Parameter"/>
    <tableColumn id="4" xr3:uid="{7F3A6223-3766-4619-92F9-4C7B0F90E997}" name="Manufacturing + use (kCO2e)"/>
    <tableColumn id="5" xr3:uid="{50C2F717-44C1-4002-B131-BC18BEA737DA}" name="Manufacturing (kCO2e)"/>
    <tableColumn id="6" xr3:uid="{6ECAEE65-DB2B-497E-BF65-7EFCC79A10D7}" name="Consumption (kWh/year)"/>
    <tableColumn id="7" xr3:uid="{8DAC25B8-46BB-4B89-9AC0-39D392172D9F}" name="Description"/>
    <tableColumn id="9" xr3:uid="{275173D9-CB25-4C0C-88AF-11041B630C78}" name="Link 1"/>
    <tableColumn id="10" xr3:uid="{F8B13C5A-14ED-44C8-A3A4-B6F395A39666}" name="Link 2"/>
  </tableColumns>
  <tableStyleInfo name="TableStyleLight8"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AC0CD97-63B8-459D-B550-F29E2885286E}" name="Tableau31" displayName="Tableau31" ref="C73:N75" totalsRowShown="0" headerRowDxfId="100">
  <autoFilter ref="C73:N75" xr:uid="{AAC0CD97-63B8-459D-B550-F29E2885286E}"/>
  <tableColumns count="12">
    <tableColumn id="1" xr3:uid="{72EB6FC5-A4B0-4E7D-9151-0A7D4DFB99A5}" name="Name"/>
    <tableColumn id="2" xr3:uid="{9CD08847-F093-4D3E-AB2D-85C942846733}" name="Source"/>
    <tableColumn id="3" xr3:uid="{C2B3C05E-986B-495D-AD26-9E056DE58CCB}" name="Type"/>
    <tableColumn id="4" xr3:uid="{54204D48-2B42-40F3-B3E9-5DFB20A1A112}" name="Manufacturing + use (kCO2e)"/>
    <tableColumn id="5" xr3:uid="{21B5566B-FABF-4CF6-BEA2-13F68E181A59}" name="Manufacturing (kCO2e)"/>
    <tableColumn id="6" xr3:uid="{CC8219C1-F207-4F67-A499-16A0202B7170}" name="Consumption (kWh/year)"/>
    <tableColumn id="7" xr3:uid="{D7E04665-3FAD-41EA-890C-9AD5E3B48D9F}" name=" [Servers] Upstream emissions: base factor (kgCO2e/unit)"/>
    <tableColumn id="8" xr3:uid="{B2EEB030-1816-4BB4-9DFE-1B21F7556362}" name="[Servers] Upstream emissions: CPU factor (kgCO2e/CPU units)"/>
    <tableColumn id="9" xr3:uid="{F6F7818F-6A39-4B9E-9DC4-2293F7EC3CC7}" name="[Servers] Upstream emissions: RAM factor (kgCO2e/GB)"/>
    <tableColumn id="10" xr3:uid="{4D10B274-EF42-45A1-973E-CAD4D5644841}" name="Description"/>
    <tableColumn id="12" xr3:uid="{159ACFFE-F8F5-4DFB-A92B-0F6C8C1A6DBB}" name="Link 1"/>
    <tableColumn id="13" xr3:uid="{0E47A424-4319-43D1-A9CA-9FC878DD69C0}" name="Link 2"/>
  </tableColumns>
  <tableStyleInfo name="TableStyleLight8"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4532475-59E1-48D7-A51D-CFA03A04BD6F}" name="Tableau32" displayName="Tableau32" ref="C78:N80" totalsRowShown="0" headerRowDxfId="99">
  <autoFilter ref="C78:N80" xr:uid="{14532475-59E1-48D7-A51D-CFA03A04BD6F}"/>
  <tableColumns count="12">
    <tableColumn id="1" xr3:uid="{B9B79979-2863-46B8-BC61-AEB2E5FABCD0}" name="Name">
      <calculatedColumnFormula>IF('3.2 Emission Factors'!$D79&lt;&gt;"",""&amp;$C$72&amp;IF('3.2 Emission Factors'!$E79&lt;&gt;"",""&amp;" - "&amp;'3.2 Emission Factors'!$E79,"")&amp;" - "&amp;'3.2 Emission Factors'!$D79,"")</calculatedColumnFormula>
    </tableColumn>
    <tableColumn id="2" xr3:uid="{04D25B9C-4022-4DAC-9963-14EED2AF609C}" name="Source"/>
    <tableColumn id="3" xr3:uid="{7E320BC3-E762-41D7-AEC4-846159594FD9}" name="Type"/>
    <tableColumn id="4" xr3:uid="{BBBEB35A-BE1F-467B-925C-149C0B770295}" name="Manufacturing + use (kCO2e)"/>
    <tableColumn id="5" xr3:uid="{7C41051E-122B-4AD2-91AB-B241D3216760}" name="Manufacturing (kCO2e)"/>
    <tableColumn id="6" xr3:uid="{A176A3B8-7191-4830-9CA6-95965E319C4D}" name="Consumption (kWh/year)"/>
    <tableColumn id="7" xr3:uid="{A9E67231-CFFB-4D9D-87F5-F8BB92274E67}" name=" [Servers] Upstream emissions: base factor (kgCO2e/unit)"/>
    <tableColumn id="8" xr3:uid="{66B0E63D-1FBE-4013-88FA-DBDFD65054CF}" name="[Servers] Upstream emissions: CPU factor (kgCO2e/CPU units)"/>
    <tableColumn id="9" xr3:uid="{0FA6C630-E9A2-4407-961E-672D4EDE43B9}" name="[Servers] Upstream emissions: RAM factor (kgCO2e/GB)"/>
    <tableColumn id="10" xr3:uid="{8501C8A1-D61E-4F48-82D2-F6F496FD74DE}" name="Description"/>
    <tableColumn id="12" xr3:uid="{7BDFBCBB-BB41-469A-8C2C-15CB7A55231D}" name="Link 1"/>
    <tableColumn id="13" xr3:uid="{6CD64DCA-871A-4E4E-8770-0D0E312C315B}" name="Link 2"/>
  </tableColumns>
  <tableStyleInfo name="TableStyleLight8"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09D7CCA-3426-4D9C-9DB9-36140C2CD32F}" name="Tableau33" displayName="Tableau33" ref="C88:K90" totalsRowShown="0" headerRowDxfId="98">
  <autoFilter ref="C88:K90" xr:uid="{709D7CCA-3426-4D9C-9DB9-36140C2CD32F}"/>
  <tableColumns count="9">
    <tableColumn id="1" xr3:uid="{C0A1671B-611A-437E-8D98-D7BF641595CC}" name="Name">
      <calculatedColumnFormula>IF('3.2 Emission Factors'!$D89&lt;&gt;"",""&amp;$C$87&amp;IF('3.2 Emission Factors'!$E89&lt;&gt;"",""&amp;" - "&amp;'3.2 Emission Factors'!$E89&amp;" - "&amp;'3.2 Emission Factors'!$F89,"")&amp;" - "&amp;'3.2 Emission Factors'!$D89,"")</calculatedColumnFormula>
    </tableColumn>
    <tableColumn id="2" xr3:uid="{FDC9E884-C866-4F99-8311-37074C580012}" name="Source"/>
    <tableColumn id="3" xr3:uid="{1E849187-BB13-4BDB-A186-8AEB539881F6}" name="Service"/>
    <tableColumn id="4" xr3:uid="{C1524536-BC6C-415D-BE4E-BF86AFCF1397}" name="Unit"/>
    <tableColumn id="5" xr3:uid="{2A14A127-BBED-4210-87EA-F8D9DA0A6958}" name="Emissions"/>
    <tableColumn id="6" xr3:uid="{41E0E5E3-0D11-4997-94DF-E08E4986851D}" name="Column1"/>
    <tableColumn id="7" xr3:uid="{F06C5838-53B3-47CE-B851-406E8382F772}" name="Column2"/>
    <tableColumn id="8" xr3:uid="{55C415C9-5598-4A70-BFB3-94E55D14DB97}" name="Description / Comments2"/>
    <tableColumn id="10" xr3:uid="{2F2908F5-2DC4-4117-B84F-0BABB6CD3D60}" name="Link 1"/>
  </tableColumns>
  <tableStyleInfo name="TableStyleLight8"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DD95EF3-6418-490E-8A48-1E02F3B2CECD}" name="Tableau34" displayName="Tableau34" ref="C95:K97" totalsRowShown="0" headerRowDxfId="97">
  <autoFilter ref="C95:K97" xr:uid="{CDD95EF3-6418-490E-8A48-1E02F3B2CECD}"/>
  <tableColumns count="9">
    <tableColumn id="1" xr3:uid="{83234771-D90D-457F-AA79-8CD4B86F73E0}" name="Name"/>
    <tableColumn id="2" xr3:uid="{1FA036B9-5E84-48F4-967D-F9D3FB54DB04}" name="Source"/>
    <tableColumn id="3" xr3:uid="{425F1B7D-CDCE-4500-85A5-E522CF33ABD0}" name="Parameter"/>
    <tableColumn id="4" xr3:uid="{DC17ED33-9DEF-431C-81A3-11218F58FB78}" name="Unit"/>
    <tableColumn id="5" xr3:uid="{80B2C507-0BE8-434D-B8D4-731269DA874C}" name="Emissions"/>
    <tableColumn id="6" xr3:uid="{27801178-CC9B-48A6-AFCD-F19327A5D2E9}" name="Column1"/>
    <tableColumn id="7" xr3:uid="{C17F7803-A04C-4839-8093-55B75D6C1857}" name="Column2"/>
    <tableColumn id="8" xr3:uid="{28135A8A-B7B5-4FB8-AD19-DEEC0BB8C101}" name="Description / Comments2"/>
    <tableColumn id="10" xr3:uid="{DEA70234-77FC-4088-8E80-61EE5E387594}" name="Link 1"/>
  </tableColumns>
  <tableStyleInfo name="TableStyleLight8"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22CE198-7D26-451A-993B-EF439D5FD824}" name="Tableau36" displayName="Tableau36" ref="C106:K115" totalsRowShown="0" headerRowDxfId="96">
  <autoFilter ref="C106:K115" xr:uid="{B22CE198-7D26-451A-993B-EF439D5FD824}"/>
  <tableColumns count="9">
    <tableColumn id="1" xr3:uid="{D534E74A-CB48-4A49-93A7-33B4814ACF49}" name="Name"/>
    <tableColumn id="2" xr3:uid="{6899E0B1-83B2-4067-8E87-EEDB21F7B595}" name="Source" dataDxfId="95"/>
    <tableColumn id="3" xr3:uid="{DA75E90F-17E9-4484-98D8-F3B212AE4292}" name="Parameter" dataDxfId="94"/>
    <tableColumn id="4" xr3:uid="{F7BBCD84-7E15-4E08-ADFF-C3200975F037}" name="Unit" dataDxfId="93"/>
    <tableColumn id="5" xr3:uid="{F5F2C954-93D7-47D1-8484-FAA097E1C6B6}" name="Emissions" dataDxfId="92"/>
    <tableColumn id="6" xr3:uid="{04F8AB99-9656-434B-A655-52C354C11801}" name="Column1" dataDxfId="91"/>
    <tableColumn id="7" xr3:uid="{E92979C1-B122-4CA1-9C25-97FE46A96E8F}" name="Column2" dataDxfId="90"/>
    <tableColumn id="8" xr3:uid="{3D49DDB8-432D-435E-86EC-C64C84EAF068}" name="Description / Comments2" dataDxfId="89"/>
    <tableColumn id="10" xr3:uid="{3AC943B7-B57F-4E74-82F9-FA5FFFB63898}" name="Link 1" dataDxfId="88"/>
  </tableColumns>
  <tableStyleInfo name="TableStyleLight8"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FC4C87C-E3D6-4E41-9C57-8DE9E0A03FA0}" name="Tableau3613" displayName="Tableau3613" ref="C124:K137" totalsRowShown="0" headerRowDxfId="87">
  <autoFilter ref="C124:K137" xr:uid="{1FC4C87C-E3D6-4E41-9C57-8DE9E0A03FA0}"/>
  <tableColumns count="9">
    <tableColumn id="1" xr3:uid="{3872D1A6-F92A-44C3-B7D8-70501D92A5A7}" name="Name"/>
    <tableColumn id="2" xr3:uid="{579A509E-A5D5-4B94-8388-D56C7B6AD62B}" name="Source" dataDxfId="86"/>
    <tableColumn id="3" xr3:uid="{D01792E1-110A-4D3A-A169-40E5880D4FA4}" name="Description" dataDxfId="85"/>
    <tableColumn id="4" xr3:uid="{8188834A-B381-4108-B398-7EDE1D5EC463}" name="Average Lifespan (years)" dataDxfId="84"/>
    <tableColumn id="5" xr3:uid="{1CA18F59-2586-498F-AB59-D9CAD998B613}" name="Manufacturing (kCO2e)" dataDxfId="83"/>
    <tableColumn id="6" xr3:uid="{5B73F06D-5CCA-4E3D-8E24-14CFAA601F19}" name="Consumption (kWh/year)" dataDxfId="82"/>
    <tableColumn id="7" xr3:uid="{F43ABEA7-222D-4412-8548-042AB1E3292A}" name="Column2" dataDxfId="81"/>
    <tableColumn id="8" xr3:uid="{697374AA-3E22-4EB5-91D8-98F0BC93AC49}" name="Description / Comments2" dataDxfId="80"/>
    <tableColumn id="10" xr3:uid="{0E2DC0F7-EA13-495F-B698-87AF8D2E632E}" name="Link 1" dataDxfId="79"/>
  </tableColumns>
  <tableStyleInfo name="TableStyleLight8"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1215D5D-4680-49F1-8861-047E08672C75}" name="Tableau3024" displayName="Tableau3024" ref="C62:K64" totalsRowShown="0" headerRowDxfId="78" tableBorderDxfId="77">
  <autoFilter ref="C62:K64" xr:uid="{01215D5D-4680-49F1-8861-047E08672C75}"/>
  <tableColumns count="9">
    <tableColumn id="1" xr3:uid="{399DA23F-1741-4A24-9D47-3655783EB044}" name="Name">
      <calculatedColumnFormula>_xlfn.CONCAT($C$61," - ",Tableau3024[[#This Row],[Source]]," - ",Tableau3024[[#This Row],[Parameter]])</calculatedColumnFormula>
    </tableColumn>
    <tableColumn id="2" xr3:uid="{054AB319-D4A2-4896-A99F-1481A255A55B}" name="Source"/>
    <tableColumn id="3" xr3:uid="{FB88F9D7-0F5D-4F96-A509-B409CDD275FF}" name="Parameter"/>
    <tableColumn id="4" xr3:uid="{12BBDE7D-F274-4331-AA7B-04821D04DD9A}" name="Manufacturing + use (kCO2e)"/>
    <tableColumn id="5" xr3:uid="{1581DA59-97D5-4F4E-9581-605D07BD5470}" name="Manufacturing (kCO2e)"/>
    <tableColumn id="6" xr3:uid="{04AF8EFF-D52B-4619-B12F-4EDD799166C8}" name="Consumption (kWh/year)"/>
    <tableColumn id="7" xr3:uid="{9159F8CC-9035-494C-8C11-AC3846D44A7F}" name="Description" dataDxfId="76"/>
    <tableColumn id="9" xr3:uid="{F0FF5B44-DF39-44FA-B966-3163E4AC31F1}" name="Link 1"/>
    <tableColumn id="10" xr3:uid="{D362C9CB-5657-46F8-89A9-917B115F0910}" name="Link 2"/>
  </tableColumns>
  <tableStyleInfo name="TableStyleLight8"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AAC0D33-BD78-401F-A56D-3A6BA355EBEF}" name="Tableau302427" displayName="Tableau302427" ref="C57:K59" totalsRowShown="0" headerRowDxfId="75" tableBorderDxfId="74">
  <autoFilter ref="C57:K59" xr:uid="{9AAC0D33-BD78-401F-A56D-3A6BA355EBEF}"/>
  <tableColumns count="9">
    <tableColumn id="1" xr3:uid="{3A9B5679-2C40-42C6-BE38-C5E06AC39F37}" name="Name">
      <calculatedColumnFormula>_xlfn.CONCAT($C$56," - ", D58," - ",E58)</calculatedColumnFormula>
    </tableColumn>
    <tableColumn id="2" xr3:uid="{6481F85B-AA7E-4354-89EA-0C7B154E3F53}" name="Source"/>
    <tableColumn id="3" xr3:uid="{7E161C3E-B409-4C75-9B0E-A6BC53275C91}" name="Parameter"/>
    <tableColumn id="4" xr3:uid="{E7ED5E8F-E164-4796-B6B1-8D98044AE5F5}" name="Manufacturing + use (kCO2e)"/>
    <tableColumn id="5" xr3:uid="{63348453-D345-446A-BF5C-97760587DEFA}" name="Manufacturing (kCO2e)"/>
    <tableColumn id="6" xr3:uid="{E67EA1CB-53D4-4B93-81BA-1FD3DFB3F60E}" name="Consumption (kWh/year)"/>
    <tableColumn id="7" xr3:uid="{3A8869B1-48A6-49FC-81B9-4FE87A700B4C}" name="Description" dataDxfId="73"/>
    <tableColumn id="9" xr3:uid="{3709100C-3C8D-4BB6-8ED8-7E5B5B19FB32}" name="Link 1"/>
    <tableColumn id="10" xr3:uid="{DA043492-DC25-4E92-BCB8-6338A49CC9E5}" name="Link 2"/>
  </tableColumns>
  <tableStyleInfo name="TableStyleLight8"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71A2E0-B96D-4AAB-9F00-D28DA1F37BFB}" name="Tableau11" displayName="Tableau11" ref="B11:D18" totalsRowShown="0" headerRowDxfId="70" headerRowBorderDxfId="68" tableBorderDxfId="69" totalsRowBorderDxfId="67">
  <autoFilter ref="B11:D18" xr:uid="{A071A2E0-B96D-4AAB-9F00-D28DA1F37BFB}"/>
  <tableColumns count="3">
    <tableColumn id="1" xr3:uid="{032EB42A-BB3C-4007-9574-92F26BA4FD89}" name="#" dataDxfId="66"/>
    <tableColumn id="2" xr3:uid="{AB99D102-45DB-4206-8447-94BE8B0CCB6F}" name="Assumption" dataDxfId="65"/>
    <tableColumn id="3" xr3:uid="{9C293775-B1A1-47B7-8CBE-513BF0C997E6}" name="Value" dataDxfId="64"/>
  </tableColumns>
  <tableStyleInfo name="TableStyleLight8"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CCE1EAD-2F75-43B5-9AD9-1A41BE1FE012}" name="Dashboard_Per_Control" displayName="Dashboard_Per_Control" ref="A20:S90" totalsRowShown="0" headerRowDxfId="60" dataDxfId="59" headerRowBorderDxfId="57" tableBorderDxfId="58" totalsRowBorderDxfId="56">
  <autoFilter ref="A20:S90" xr:uid="{33BF6864-3294-4C57-8B3A-470CCE74CDD2}"/>
  <tableColumns count="19">
    <tableColumn id="6" xr3:uid="{7614788F-EEF2-4A0D-B3D0-AC2FD88AE641}" name="NIST Topic" dataDxfId="55"/>
    <tableColumn id="1" xr3:uid="{825638DA-69E8-4EB1-B511-9E98BDFA882C}" name="NIST Control" dataDxfId="54"/>
    <tableColumn id="3" xr3:uid="{DC5DD347-B3D9-40D9-B3A3-58484E87DC2B}" name="Simplified Emission Requirement" dataDxfId="53"/>
    <tableColumn id="4" xr3:uid="{56B1175A-953F-4CA5-B67D-7E83365EC8E1}" name="Total yearly CO2e emissions (kgCO2e)" dataDxfId="52">
      <calculatedColumnFormula>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calculatedColumnFormula>
    </tableColumn>
    <tableColumn id="5" xr3:uid="{F0187BBF-B816-4201-91A1-1F3123E95C11}" name="Total yearly CO2e emissions (%)" dataDxfId="51">
      <calculatedColumnFormula>Dashboard_Per_Control[[#This Row],[Total yearly CO2e emissions (kgCO2e)]]/(1000*Total)</calculatedColumnFormula>
    </tableColumn>
    <tableColumn id="2" xr3:uid="{8318891D-CCD5-4E4A-80A0-D1B0BAB9846B}" name="Cyber Devices emissions kgCO2e" dataDxfId="50">
      <calculatedColumnFormula xml:space="preserve">
SUMIF(Mapping_Devices_Workstation_Laptop[NIST Control],B21,Mapping_Devices_Workstation_Laptop[Total emissions (kgC02e)])
+SUMIF(Mapping_Devices_Workstation_Desktop[NIST Control],B21,Mapping_Devices_Workstation_Desktop[Total emissions (kgC02e)])
+SUMIF(Mapping_Devices_Screens[NIST Control],B21,Mapping_Devices_Screens[Total emissions (kgC02e)])+SUMIF(Mapping_Devices_Smartphone[NIST Control],B21,Mapping_Devices_Smartphone[Total emissions (kgC02e)])</calculatedColumnFormula>
    </tableColumn>
    <tableColumn id="7" xr3:uid="{0F7F2933-835B-4964-8A91-BF6B90770E56}" name="Cyber Devices details" dataDxfId="49">
      <calculatedColumnFormula array="1">_xlfn.CONCAT(
IFERROR(_xlfn.CONCAT(_xlfn._xlws.FILTER(Mapping_Devices_Workstation_Laptop[Scope],Mapping_Devices_Workstation_Laptop[NIST Control]=B21)&amp;CHAR(10)),""),
IFERROR(_xlfn.CONCAT(_xlfn._xlws.FILTER(#REF!,#REF!=B21)&amp;CHAR(10)),""),
IFERROR(_xlfn.CONCAT(_xlfn._xlws.FILTER(Mapping_Devices_Screens[Scope],Mapping_Devices_Screens[NIST Control]=B21)&amp;CHAR(10)),""),
IFERROR(_xlfn.CONCAT(_xlfn._xlws.FILTER(Mapping_Devices_Smartphone[Scope],Mapping_Devices_Smartphone[NIST Control]=B21)&amp;CHAR(10)),"")
)</calculatedColumnFormula>
    </tableColumn>
    <tableColumn id="8" xr3:uid="{A99C73B6-A375-4874-A09B-77CBF5E6218A}" name="Network emissions kgCO2e" dataDxfId="48">
      <calculatedColumnFormula>SUMIF(Mapping_Appliance[NIST Control],B21,Mapping_Appliance[Total emissions (kgC02e)])</calculatedColumnFormula>
    </tableColumn>
    <tableColumn id="9" xr3:uid="{6D3EA02D-1A19-409D-A64D-F736857272FF}" name="Network details" dataDxfId="47">
      <calculatedColumnFormula array="1">IFERROR(_xlfn.CONCAT(_xlfn._xlws.FILTER(Mapping_Appliance[Scope],Mapping_Appliance[NIST Control]=B21)&amp;CHAR(10)),"")</calculatedColumnFormula>
    </tableColumn>
    <tableColumn id="10" xr3:uid="{51D373FB-5EC0-48FB-BEEF-A4ABBE682CA6}" name="Backup servers emissions kgCO2e" dataDxfId="46">
      <calculatedColumnFormula>SUMIF(Mapping_Servers_Backup[NIST Control],B21,Mapping_Servers_Backup[Total emissions (kgC02e)])</calculatedColumnFormula>
    </tableColumn>
    <tableColumn id="11" xr3:uid="{D70D01EC-3F7D-4378-8E02-3020DB97D471}" name="Backup servers details" dataDxfId="45">
      <calculatedColumnFormula array="1">_xlfn.CONCAT(
IFERROR(_xlfn.CONCAT(_xlfn._xlws.FILTER(Mapping_Non_Cyber_Servers[Scope],Mapping_Non_Cyber_Servers[NIST Control]=B21)&amp;CHAR(10)),""),
IFERROR(_xlfn.CONCAT(_xlfn._xlws.FILTER(Mapping_Servers_Backup[Scope],Mapping_Servers_Backup[NIST Control]=B21)&amp;CHAR(10)),""),
)</calculatedColumnFormula>
    </tableColumn>
    <tableColumn id="12" xr3:uid="{EC7AC699-240C-46A7-B3BF-50D2804553CB}" name="Cyber software infra emissions kgCO2e" dataDxfId="44">
      <calculatedColumnFormula>SUMIF(Mapping_Solutions_On_Premise[NIST Control],B21,Mapping_Solutions_On_Premise[Total NIST carbon emission (kgCO2e)])
+SUMIF(Mapping_Solutions_Cloud[NIST Control],B21,Mapping_Solutions_Cloud[Total NIST carbon emission (kgCO2e)])</calculatedColumnFormula>
    </tableColumn>
    <tableColumn id="13" xr3:uid="{89D92575-B9B3-4E79-B69F-6228A71B11A7}" name="Cyber software infra details" dataDxfId="43">
      <calculatedColumnFormula array="1">_xlfn.CONCAT(
IFERROR(_xlfn.CONCAT(_xlfn._xlws.FILTER(Mapping_Solutions_On_Premise[Application name],#REF!=B21)&amp;CHAR(10)),""),
IFERROR(_xlfn.CONCAT(_xlfn._xlws.FILTER(Mapping_Solutions_Cloud[Application name],#REF!=B21)&amp;CHAR(10)),"")
)</calculatedColumnFormula>
    </tableColumn>
    <tableColumn id="14" xr3:uid="{187FBB1A-773A-4378-BE67-7C25D95AC7A4}" name="External services emissions kgCO2e" dataDxfId="42">
      <calculatedColumnFormula>SUMIF(Mapping_Externals_TM[NIST Control],B21,Mapping_Externals_TM[NIST carbon emission (kgCO2e)])
+SUMIF(Mapping_Externals_Fixed_Price[NIST Control],B21,Mapping_Externals_Fixed_Price[NIST carbon emission (kgCO2e)])</calculatedColumnFormula>
    </tableColumn>
    <tableColumn id="15" xr3:uid="{64AE3A6C-8B17-4BB6-AB46-958B7740E91F}" name="External services details" dataDxfId="41">
      <calculatedColumnFormula array="1">_xlfn.CONCAT(
IFERROR(_xlfn.CONCAT(_xlfn._xlws.FILTER(Mapping_Externals_TM[Service name],#REF!=B21)&amp;CHAR(10)),""),
IFERROR(_xlfn.CONCAT(_xlfn._xlws.FILTER(Mapping_Externals_Fixed_Price[Service name],#REF!=B21)&amp;CHAR(10)),""))</calculatedColumnFormula>
    </tableColumn>
    <tableColumn id="16" xr3:uid="{901C5433-AC78-4498-9F2D-652AC20A091A}" name="Travel emissions kgCO2e" dataDxfId="40">
      <calculatedColumnFormula>SUMIF(Mapping_Travel[NIST Control],B21,Mapping_Travel[Total emissions (kgC02e)])</calculatedColumnFormula>
    </tableColumn>
    <tableColumn id="17" xr3:uid="{E176BE16-6790-4F43-8CDA-5926FB9F643E}" name="Travel details" dataDxfId="39">
      <calculatedColumnFormula array="1">IFERROR(_xlfn.CONCAT(_xlfn._xlws.FILTER(Mapping_Travel[Type of transportation],Mapping_Travel[NIST Control]=B21)&amp;CHAR(10)),"")</calculatedColumnFormula>
    </tableColumn>
    <tableColumn id="18" xr3:uid="{DC867EFC-E146-4639-8D64-314A690B98FF}" name="Non cyber equiments emissions kgCO2e2" dataDxfId="38">
      <calculatedColumnFormula>SUMIF(Mapping_Non_Cyber_Workstation_Laptop[NIST Control],B21,Mapping_Non_Cyber_Workstation_Laptop[Total emissions (kgC02e)])
+SUMIF(Mapping_Non_Cyber_Workstation_Desktop[NIST Control],B21,Mapping_Non_Cyber_Workstation_Desktop[Total emissions (kgC02e)])
+SUMIF(Mapping_Non_Cyber_VDI[NIST Control],B21,Mapping_Non_Cyber_VDI[Total emissions (kgC02e)])
+SUMIF(Mapping_Non_Cyber_Servers[NIST Control],B21,Mapping_Non_Cyber_Servers[Total emissions (kgC02e)])</calculatedColumnFormula>
    </tableColumn>
    <tableColumn id="19" xr3:uid="{E03651D1-5B4B-40EB-94C6-5E399B598AC7}" name="Non cyber equiments detail" dataDxfId="37">
      <calculatedColumnFormula array="1">_xlfn.CONCAT(
IFERROR(_xlfn.CONCAT(_xlfn._xlws.FILTER(Mapping_Non_Cyber_Workstation_Laptop[Scope],Mapping_Non_Cyber_Workstation_Laptop[NIST Control]=B21)&amp;CHAR(10)),""),
IFERROR(_xlfn.CONCAT(_xlfn._xlws.FILTER(Mapping_Non_Cyber_Workstation_Desktop[Scope],Mapping_Non_Cyber_Workstation_Desktop[NIST Control]=B21)&amp;CHAR(10)),""),
IFERROR(_xlfn.CONCAT(_xlfn._xlws.FILTER(Mapping_Non_Cyber_VDI[Scope],Mapping_Non_Cyber_VDI[NIST Control]=B21)&amp;CHAR(10)),""),
IFERROR(_xlfn.CONCAT(_xlfn._xlws.FILTER(Mapping_Non_Cyber_Servers[Scope],Mapping_Non_Cyber_Servers[NIST Control]=B21)&amp;CHAR(10)),"")
)</calculatedColumnFormula>
    </tableColumn>
  </tableColumns>
  <tableStyleInfo name="TableStyleLight8"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6398067F-6E49-4581-9C49-1ED5DE03E49A}" name="Tableau85" displayName="Tableau85" ref="A5:C19" totalsRowShown="0" headerRowDxfId="36" headerRowBorderDxfId="35">
  <autoFilter ref="A5:C19" xr:uid="{6398067F-6E49-4581-9C49-1ED5DE03E49A}"/>
  <tableColumns count="3">
    <tableColumn id="1" xr3:uid="{E0E8C441-2E09-4E89-BB86-AC8FDCB066BF}" name="Topic"/>
    <tableColumn id="2" xr3:uid="{351536A3-AD77-4586-A379-75CEFAF859A4}" name="tCO2e" dataDxfId="34">
      <calculatedColumnFormula>(_xlfn.XLOOKUP(Tableau85[[#This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calculatedColumnFormula>
    </tableColumn>
    <tableColumn id="3" xr3:uid="{8CB15C0E-05AD-407D-A9F6-2BF1C571600F}" name="%" dataDxfId="33">
      <calculatedColumnFormula>Tableau85[[#This Row],[tCO2e]]/$B$1</calculatedColumnFormula>
    </tableColumn>
  </tableColumns>
  <tableStyleInfo name="TableStyleLight8"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9B9C3D8-5ACC-4F99-BADA-6D4EB5E9DFE4}" name="Tableau6" displayName="Tableau6" ref="A24:H38" totalsRowShown="0">
  <autoFilter ref="A24:H38" xr:uid="{B9B9C3D8-5ACC-4F99-BADA-6D4EB5E9DFE4}"/>
  <tableColumns count="8">
    <tableColumn id="1" xr3:uid="{650E0FBE-6284-4AFC-8544-9432C1748F6C}" name="Topic" dataDxfId="32"/>
    <tableColumn id="2" xr3:uid="{7AD741F4-ED71-424C-B260-3BCC44907680}" name="Cyber devices" dataDxfId="31">
      <calculatedColumnFormula>_xlfn.XLOOKUP(Tableau6[[#This Row],[Topic]],Mapping_Device_Results_by_TOPIC[Topics],Mapping_Device_Results_by_TOPIC[Total Devices emissions (kgCO2e)])/1000</calculatedColumnFormula>
    </tableColumn>
    <tableColumn id="3" xr3:uid="{02EB9484-63A5-4EFC-8868-B386A3A72159}" name="Network" dataDxfId="30">
      <calculatedColumnFormula>_xlfn.XLOOKUP(Tableau6[[#This Row],[Topic]],Mapping_Network_Results_by_TOPIC[Topics],Mapping_Network_Results_by_TOPIC[Appliances emissions (kgCO2e)])/1000</calculatedColumnFormula>
    </tableColumn>
    <tableColumn id="4" xr3:uid="{E64CAD6B-243E-4CAA-9581-2D085A55C1BA}" name="Backup Servers" dataDxfId="29">
      <calculatedColumnFormula>_xlfn.XLOOKUP(Tableau6[[#This Row],[Topic]],Mapping_Servers_Results_by_TOPIC[Topics],Mapping_Servers_Results_by_TOPIC[Total severs on premise emissions (kgCO2e)])/1000</calculatedColumnFormula>
    </tableColumn>
    <tableColumn id="5" xr3:uid="{1C4930A9-309E-4810-BB4B-37F20D2AC64D}" name="Cyber Software Infrastructure" dataDxfId="28">
      <calculatedColumnFormula>_xlfn.XLOOKUP(Tableau6[[#This Row],[Topic]],Mapping_Solutions_Results_by_TOPIC[Topics],Mapping_Solutions_Results_by_TOPIC[Total Cyber solution emissions (kgCO2e)])/1000</calculatedColumnFormula>
    </tableColumn>
    <tableColumn id="6" xr3:uid="{F0838315-A966-4085-8325-CE6133588D2B}" name="External services" dataDxfId="27">
      <calculatedColumnFormula>_xlfn.XLOOKUP(Tableau6[[#This Row],[Topic]],Mapping_External_Results_by_TOPIC[Topics],Mapping_External_Results_by_TOPIC[Total External services emissions (kgCO2e)])/1000</calculatedColumnFormula>
    </tableColumn>
    <tableColumn id="7" xr3:uid="{1B3328BF-71B7-4583-A302-2788E9E8DAEE}" name="Travel" dataDxfId="26">
      <calculatedColumnFormula>_xlfn.XLOOKUP(Tableau6[[#This Row],[Topic]],Mapping_Travel_Results_by_TOPIC[Topics],Mapping_Travel_Results_by_TOPIC[Total Travel (kgCO2e)])/1000</calculatedColumnFormula>
    </tableColumn>
    <tableColumn id="8" xr3:uid="{67DD65B0-320E-442C-85C3-B13B74604E7C}" name="Non cyber equipments" dataDxfId="25">
      <calculatedColumnFormula>_xlfn.XLOOKUP(Tableau6[[#This Row],[Topic]],Mapping_Non_Cyber_Results_by_TOPIC[NIST Control],Mapping_Non_Cyber_Results_by_TOPIC[Total Log and Antivirus for non cybe equipments emissions (kgCO2e)])/1000</calculatedColumnFormula>
    </tableColumn>
  </tableColumns>
  <tableStyleInfo name="TableStyleLight8"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265E88-51E9-4E22-B22D-19C6A48F7AAA}" name="Tableau7" displayName="Tableau7" ref="A42:C140" totalsRowShown="0" headerRowDxfId="24">
  <autoFilter ref="A42:C140" xr:uid="{0D265E88-51E9-4E22-B22D-19C6A48F7AAA}"/>
  <tableColumns count="3">
    <tableColumn id="1" xr3:uid="{14A091A9-2013-49CD-9397-97C5EC17F080}" name="Topic" dataDxfId="23"/>
    <tableColumn id="2" xr3:uid="{D0817D15-DC79-4A65-9243-3B62198E460A}" name="Category"/>
    <tableColumn id="3" xr3:uid="{DC8A7638-6CE5-4E98-8C0C-AD78CD42D801}" name="tCO2e" dataDxfId="22"/>
  </tableColumns>
  <tableStyleInfo name="TableStyleLight8"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F06E1C-5427-459E-B8D3-0C7FCD5B4B49}" name="Tableau10" displayName="Tableau10" ref="A143:C241" totalsRowShown="0" headerRowDxfId="21">
  <autoFilter ref="A143:C241" xr:uid="{E7F06E1C-5427-459E-B8D3-0C7FCD5B4B49}"/>
  <tableColumns count="3">
    <tableColumn id="1" xr3:uid="{BA3C7DD0-7A36-4E72-A51D-DA1E1DAEFC4B}" name="Category" dataDxfId="19" totalsRowDxfId="20"/>
    <tableColumn id="2" xr3:uid="{52C81C7C-8780-4E9E-9647-03B95C784FD6}" name="Topic" dataDxfId="17" totalsRowDxfId="18"/>
    <tableColumn id="3" xr3:uid="{164C79D1-5A9B-4AF2-8EA4-96DD889C620E}" name="tCO2e" dataDxfId="15" totalsRowDxfId="16"/>
  </tableColumns>
  <tableStyleInfo name="TableStyleLight8"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30337F-F86F-41FC-85D1-3F0349791291}" name="Tableau853" displayName="Tableau853" ref="A3:E10" totalsRowShown="0" headerRowDxfId="14" headerRowBorderDxfId="13">
  <autoFilter ref="A3:E10" xr:uid="{3930337F-F86F-41FC-85D1-3F0349791291}"/>
  <tableColumns count="5">
    <tableColumn id="1" xr3:uid="{BB437721-4474-49FC-B953-71E3D7843644}" name="Topic" dataDxfId="12">
      <calculatedColumnFormula>Tableau6[[#Headers],[Cyber devices]]</calculatedColumnFormula>
    </tableColumn>
    <tableColumn id="4" xr3:uid="{FF764E34-0815-4E8B-92A6-56DC13AA2FE7}" name="Scope 2 (tCO2e)" dataDxfId="11"/>
    <tableColumn id="5" xr3:uid="{37F12EA3-3D80-4648-B781-23309F365A04}" name="Scope 3 (tCO2e)" dataDxfId="10"/>
    <tableColumn id="2" xr3:uid="{48ADECCF-D2A2-4F25-9995-2DEBF73E573F}" name="tCO2e" dataDxfId="9">
      <calculatedColumnFormula>SUM(Tableau853[[#This Row],[Scope 2 (tCO2e)]:[Scope 3 (tCO2e)]])</calculatedColumnFormula>
    </tableColumn>
    <tableColumn id="3" xr3:uid="{AC4538E6-1F9D-4084-ADD6-FA057AEB96ED}" name="%" dataDxfId="8">
      <calculatedColumnFormula>Tableau853[[#This Row],[tCO2e]]/$B$1</calculatedColumnFormula>
    </tableColumn>
  </tableColumns>
  <tableStyleInfo name="TableStyleLight8"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E425FC7-535F-46C0-9016-16485D46F7E0}" name="Tableau18" displayName="Tableau18" ref="A12:B14" totalsRowShown="0" headerRowDxfId="7">
  <autoFilter ref="A12:B14" xr:uid="{CE425FC7-535F-46C0-9016-16485D46F7E0}"/>
  <tableColumns count="2">
    <tableColumn id="1" xr3:uid="{7B37DA43-6361-4B87-A213-30D5DA86FDD2}" name="Scope"/>
    <tableColumn id="2" xr3:uid="{109C73C9-8A93-44A9-B179-3E26DCA26AE2}" name="tCO2e" dataDxfId="6">
      <calculatedColumnFormula>Total_Scope3</calculatedColumnFormula>
    </tableColumn>
  </tableColumns>
  <tableStyleInfo name="TableStyleLight8"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F102DA-2DE3-4A67-9C53-92611C636A2C}" name="Tableau1" displayName="Tableau1" ref="A22:C42" totalsRowShown="0" headerRowBorderDxfId="4" tableBorderDxfId="5" totalsRowBorderDxfId="3">
  <autoFilter ref="A22:C42" xr:uid="{03F102DA-2DE3-4A67-9C53-92611C636A2C}"/>
  <tableColumns count="3">
    <tableColumn id="1" xr3:uid="{52390FB1-D2EC-4234-868B-0E6AD68CF57B}" name="Category" dataDxfId="2"/>
    <tableColumn id="2" xr3:uid="{33990F9B-8EDE-4899-A439-2BDFA85D9DCF}" name="Subcategory" dataDxfId="1"/>
    <tableColumn id="3" xr3:uid="{8B5BBC25-A8B5-4422-881E-F0377372B1BF}" name="tCO2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2-01-06T10:11:13.70" personId="{D885495E-6A0C-43A9-A2A8-28FA99CC3AAD}" id="{9F591E9C-71AA-41FB-BB82-F374962B3E40}">
    <text>Utilisation</text>
  </threadedComment>
  <threadedComment ref="H13" dT="2022-01-06T10:11:13.70" personId="{D885495E-6A0C-43A9-A2A8-28FA99CC3AAD}" id="{58F01370-167E-4AC5-B1D1-B4C5FDAE2689}">
    <text>Utilisation</text>
  </threadedComment>
  <threadedComment ref="H21" dT="2022-01-06T10:11:13.70" personId="{D885495E-6A0C-43A9-A2A8-28FA99CC3AAD}" id="{99BE2CD0-4DE0-4F16-9E6D-CBCB63178B73}">
    <text>Utilisation</text>
  </threadedComment>
  <threadedComment ref="H26" dT="2022-01-06T10:11:13.70" personId="{D885495E-6A0C-43A9-A2A8-28FA99CC3AAD}" id="{B6A5D1F4-E07D-469A-B066-374A1B133E8C}">
    <text>Utilisation</text>
  </threadedComment>
  <threadedComment ref="H33" dT="2022-01-06T10:11:13.70" personId="{D885495E-6A0C-43A9-A2A8-28FA99CC3AAD}" id="{4F7745A5-66D6-4EC3-8016-5BE9FA6F6EB7}">
    <text>Utilisation</text>
  </threadedComment>
  <threadedComment ref="H57" dT="2022-01-06T10:11:13.70" personId="{D885495E-6A0C-43A9-A2A8-28FA99CC3AAD}" id="{BE9775C5-BD0E-425D-9C76-8B1EAC2D78CC}">
    <text>Utilisation</text>
  </threadedComment>
  <threadedComment ref="H62" dT="2022-01-06T10:11:13.70" personId="{D885495E-6A0C-43A9-A2A8-28FA99CC3AAD}" id="{CF415294-951C-4212-A8CC-EDA1EC33B18A}">
    <text>Utilisation</text>
  </threadedComment>
  <threadedComment ref="H67" dT="2022-01-06T10:11:13.70" personId="{D885495E-6A0C-43A9-A2A8-28FA99CC3AAD}" id="{3A8C7282-C352-4A1C-9AF9-538D0FA193F2}">
    <text>Utilisation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1.bin"/><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2.bin"/><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drawing" Target="../drawings/drawing3.xml"/><Relationship Id="rId4"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5.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table" Target="../tables/table30.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table" Target="../tables/table32.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table" Target="../tables/table3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table" Target="../tables/table38.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table" Target="../tables/table40.xml"/><Relationship Id="rId5" Type="http://schemas.openxmlformats.org/officeDocument/2006/relationships/table" Target="../tables/table44.xml"/><Relationship Id="rId4" Type="http://schemas.openxmlformats.org/officeDocument/2006/relationships/table" Target="../tables/table43.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printerSettings" Target="../printerSettings/printerSettings7.bin"/><Relationship Id="rId1" Type="http://schemas.openxmlformats.org/officeDocument/2006/relationships/hyperlink" Target="https://www.bilans-ges.ademe.fr/documentation/UPLOAD_DOC_FR/index.htm?moyenne_par_pays.htm"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base-empreinte.ademe.fr/donnees/jeu-donnees" TargetMode="External"/><Relationship Id="rId13" Type="http://schemas.openxmlformats.org/officeDocument/2006/relationships/hyperlink" Target="https://datavizta.boavizta.org/serversimpact%20;%20Average%20on%20SSD%20kgCO2e%20/%20GB" TargetMode="External"/><Relationship Id="rId18" Type="http://schemas.openxmlformats.org/officeDocument/2006/relationships/table" Target="../tables/table48.xml"/><Relationship Id="rId26" Type="http://schemas.openxmlformats.org/officeDocument/2006/relationships/table" Target="../tables/table56.xml"/><Relationship Id="rId3" Type="http://schemas.openxmlformats.org/officeDocument/2006/relationships/hyperlink" Target="https://i.dell.com/sites/csdocuments/CorpComm_Docs/en/carbon-footprint-poweredge-r740xd.pdf" TargetMode="External"/><Relationship Id="rId21" Type="http://schemas.openxmlformats.org/officeDocument/2006/relationships/table" Target="../tables/table51.xml"/><Relationship Id="rId7" Type="http://schemas.openxmlformats.org/officeDocument/2006/relationships/hyperlink" Target="https://base-empreinte.ademe.fr/donnees/jeu-donnees" TargetMode="External"/><Relationship Id="rId12" Type="http://schemas.openxmlformats.org/officeDocument/2006/relationships/hyperlink" Target="https://datavizta.boavizta.org/serversimpact%20;%20Average%20on%20SSD%20kgCO2e%20/%20GB" TargetMode="External"/><Relationship Id="rId17" Type="http://schemas.openxmlformats.org/officeDocument/2006/relationships/table" Target="../tables/table47.xml"/><Relationship Id="rId25" Type="http://schemas.openxmlformats.org/officeDocument/2006/relationships/table" Target="../tables/table55.xml"/><Relationship Id="rId2" Type="http://schemas.openxmlformats.org/officeDocument/2006/relationships/hyperlink" Target="https://www.arcep.fr/uploads/tx_gspublication/etude-numerique-environnement-ademe-arcep-volet02_janv2022.pdf" TargetMode="External"/><Relationship Id="rId16" Type="http://schemas.openxmlformats.org/officeDocument/2006/relationships/table" Target="../tables/table46.xml"/><Relationship Id="rId20" Type="http://schemas.openxmlformats.org/officeDocument/2006/relationships/table" Target="../tables/table50.xml"/><Relationship Id="rId29" Type="http://schemas.openxmlformats.org/officeDocument/2006/relationships/table" Target="../tables/table59.xml"/><Relationship Id="rId1" Type="http://schemas.openxmlformats.org/officeDocument/2006/relationships/hyperlink" Target="https://datavizta.boavizta.org/serversimpact%20;%20Average%20on%20SSD%20kgCO2e%20/%20GB" TargetMode="External"/><Relationship Id="rId6" Type="http://schemas.openxmlformats.org/officeDocument/2006/relationships/hyperlink" Target="file:///C:\Users\hugo.berard\Downloads\HPE%20product%20carbon%20footprint%20&#226;&#8364;&#8220;%20HPE%20Synergy%20480%20Gen10%20Compute%20Module%20data%20sheet-a50005191enw.pdf" TargetMode="External"/><Relationship Id="rId11" Type="http://schemas.openxmlformats.org/officeDocument/2006/relationships/hyperlink" Target="https://base-empreinte.ademe.fr/donnees/jeu-donnees" TargetMode="External"/><Relationship Id="rId24" Type="http://schemas.openxmlformats.org/officeDocument/2006/relationships/table" Target="../tables/table54.xml"/><Relationship Id="rId32" Type="http://schemas.microsoft.com/office/2017/10/relationships/threadedComment" Target="../threadedComments/threadedComment1.xml"/><Relationship Id="rId5" Type="http://schemas.openxmlformats.org/officeDocument/2006/relationships/hyperlink" Target="https://i.dell.com/sites/csdocuments/CorpComm_Docs/en/carbon-footprint-poweredge-r640.pdf" TargetMode="External"/><Relationship Id="rId15" Type="http://schemas.openxmlformats.org/officeDocument/2006/relationships/vmlDrawing" Target="../drawings/vmlDrawing1.vml"/><Relationship Id="rId23" Type="http://schemas.openxmlformats.org/officeDocument/2006/relationships/table" Target="../tables/table53.xml"/><Relationship Id="rId28" Type="http://schemas.openxmlformats.org/officeDocument/2006/relationships/table" Target="../tables/table58.xml"/><Relationship Id="rId10" Type="http://schemas.openxmlformats.org/officeDocument/2006/relationships/hyperlink" Target="https://base-empreinte.ademe.fr/donnees/jeu-donnees" TargetMode="External"/><Relationship Id="rId19" Type="http://schemas.openxmlformats.org/officeDocument/2006/relationships/table" Target="../tables/table49.xml"/><Relationship Id="rId31" Type="http://schemas.openxmlformats.org/officeDocument/2006/relationships/comments" Target="../comments1.xml"/><Relationship Id="rId4" Type="http://schemas.openxmlformats.org/officeDocument/2006/relationships/hyperlink" Target="https://i.dell.com/sites/csdocuments/CorpComm_Docs/en/carbon-footprint-poweredge-r740.pdf" TargetMode="External"/><Relationship Id="rId9" Type="http://schemas.openxmlformats.org/officeDocument/2006/relationships/hyperlink" Target="https://base-empreinte.ademe.fr/donnees/jeu-donnees" TargetMode="External"/><Relationship Id="rId14" Type="http://schemas.openxmlformats.org/officeDocument/2006/relationships/printerSettings" Target="../printerSettings/printerSettings8.bin"/><Relationship Id="rId22" Type="http://schemas.openxmlformats.org/officeDocument/2006/relationships/table" Target="../tables/table52.xml"/><Relationship Id="rId27" Type="http://schemas.openxmlformats.org/officeDocument/2006/relationships/table" Target="../tables/table57.xml"/><Relationship Id="rId30" Type="http://schemas.openxmlformats.org/officeDocument/2006/relationships/table" Target="../tables/table6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table" Target="../tables/table63.xml"/><Relationship Id="rId1" Type="http://schemas.openxmlformats.org/officeDocument/2006/relationships/drawing" Target="../drawings/drawing5.xml"/><Relationship Id="rId5" Type="http://schemas.openxmlformats.org/officeDocument/2006/relationships/table" Target="../tables/table66.xml"/><Relationship Id="rId4" Type="http://schemas.openxmlformats.org/officeDocument/2006/relationships/table" Target="../tables/table65.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table" Target="../tables/table67.xml"/><Relationship Id="rId1" Type="http://schemas.openxmlformats.org/officeDocument/2006/relationships/drawing" Target="../drawings/drawing6.xml"/><Relationship Id="rId4" Type="http://schemas.openxmlformats.org/officeDocument/2006/relationships/table" Target="../tables/table6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F351-4C2C-4177-BFE2-FD6F5AA43D47}">
  <sheetPr>
    <tabColor theme="2"/>
  </sheetPr>
  <dimension ref="A1:N45"/>
  <sheetViews>
    <sheetView showGridLines="0" zoomScale="70" zoomScaleNormal="70" workbookViewId="0">
      <selection activeCell="G1" sqref="G1"/>
    </sheetView>
  </sheetViews>
  <sheetFormatPr defaultColWidth="10.85546875" defaultRowHeight="14.45"/>
  <cols>
    <col min="1" max="16384" width="10.85546875" style="3"/>
  </cols>
  <sheetData>
    <row r="1" spans="1:14" ht="23.45">
      <c r="A1" s="93" t="s">
        <v>0</v>
      </c>
      <c r="K1" s="54" t="s">
        <v>1</v>
      </c>
    </row>
    <row r="3" spans="1:14">
      <c r="A3" s="3" t="s">
        <v>2</v>
      </c>
    </row>
    <row r="4" spans="1:14">
      <c r="A4" s="3" t="s">
        <v>3</v>
      </c>
    </row>
    <row r="11" spans="1:14" ht="130.5" customHeight="1">
      <c r="K11" s="314" t="s">
        <v>4</v>
      </c>
      <c r="L11" s="314"/>
      <c r="M11" s="314"/>
      <c r="N11" s="314"/>
    </row>
    <row r="38" spans="1:1">
      <c r="A38" s="3" t="s">
        <v>5</v>
      </c>
    </row>
    <row r="39" spans="1:1">
      <c r="A39" s="3" t="s">
        <v>6</v>
      </c>
    </row>
    <row r="40" spans="1:1">
      <c r="A40" s="3" t="s">
        <v>7</v>
      </c>
    </row>
    <row r="41" spans="1:1">
      <c r="A41" s="3" t="s">
        <v>8</v>
      </c>
    </row>
    <row r="42" spans="1:1">
      <c r="A42" s="3" t="s">
        <v>9</v>
      </c>
    </row>
    <row r="44" spans="1:1">
      <c r="A44" s="3" t="s">
        <v>10</v>
      </c>
    </row>
    <row r="45" spans="1:1">
      <c r="A45" s="3" t="s">
        <v>11</v>
      </c>
    </row>
  </sheetData>
  <mergeCells count="1">
    <mergeCell ref="K11:N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B2643-A502-4501-9B4E-52F074A37008}">
  <dimension ref="A1:C89"/>
  <sheetViews>
    <sheetView showGridLines="0" zoomScale="71" zoomScaleNormal="71" workbookViewId="0">
      <selection activeCell="C83" sqref="C83"/>
    </sheetView>
  </sheetViews>
  <sheetFormatPr defaultColWidth="11.42578125" defaultRowHeight="14.45"/>
  <cols>
    <col min="1" max="1" width="12.5703125" customWidth="1"/>
    <col min="3" max="3" width="168.140625" customWidth="1"/>
  </cols>
  <sheetData>
    <row r="1" spans="1:3" ht="18.600000000000001">
      <c r="A1" s="315" t="s">
        <v>12</v>
      </c>
      <c r="B1" s="315"/>
      <c r="C1" s="315"/>
    </row>
    <row r="2" spans="1:3">
      <c r="A2" s="145" t="s">
        <v>13</v>
      </c>
    </row>
    <row r="3" spans="1:3">
      <c r="A3" t="s">
        <v>14</v>
      </c>
    </row>
    <row r="4" spans="1:3">
      <c r="A4" t="s">
        <v>15</v>
      </c>
    </row>
    <row r="5" spans="1:3">
      <c r="A5" t="s">
        <v>16</v>
      </c>
    </row>
    <row r="6" spans="1:3">
      <c r="A6" t="s">
        <v>17</v>
      </c>
    </row>
    <row r="7" spans="1:3">
      <c r="A7" t="s">
        <v>18</v>
      </c>
    </row>
    <row r="8" spans="1:3">
      <c r="A8" t="s">
        <v>19</v>
      </c>
    </row>
    <row r="9" spans="1:3">
      <c r="A9" t="s">
        <v>20</v>
      </c>
    </row>
    <row r="10" spans="1:3">
      <c r="A10" t="s">
        <v>21</v>
      </c>
    </row>
    <row r="11" spans="1:3">
      <c r="A11" t="s">
        <v>22</v>
      </c>
    </row>
    <row r="12" spans="1:3">
      <c r="A12" t="s">
        <v>23</v>
      </c>
    </row>
    <row r="13" spans="1:3">
      <c r="A13" t="s">
        <v>24</v>
      </c>
    </row>
    <row r="14" spans="1:3">
      <c r="A14" t="s">
        <v>25</v>
      </c>
    </row>
    <row r="15" spans="1:3">
      <c r="A15" t="s">
        <v>26</v>
      </c>
    </row>
    <row r="16" spans="1:3">
      <c r="A16" t="s">
        <v>27</v>
      </c>
    </row>
    <row r="19" spans="1:3" ht="27" customHeight="1">
      <c r="A19" s="146" t="s">
        <v>28</v>
      </c>
      <c r="B19" s="146" t="s">
        <v>29</v>
      </c>
      <c r="C19" s="146" t="s">
        <v>30</v>
      </c>
    </row>
    <row r="20" spans="1:3" ht="15" customHeight="1">
      <c r="A20" s="114" t="s">
        <v>31</v>
      </c>
      <c r="B20" s="147" t="s">
        <v>14</v>
      </c>
      <c r="C20" s="115" t="s">
        <v>32</v>
      </c>
    </row>
    <row r="21" spans="1:3" ht="15" customHeight="1">
      <c r="A21" s="114" t="s">
        <v>33</v>
      </c>
      <c r="B21" s="147" t="s">
        <v>15</v>
      </c>
      <c r="C21" s="115" t="s">
        <v>34</v>
      </c>
    </row>
    <row r="22" spans="1:3" ht="15" customHeight="1">
      <c r="A22" s="114" t="s">
        <v>35</v>
      </c>
      <c r="B22" s="147" t="s">
        <v>15</v>
      </c>
      <c r="C22" s="115" t="s">
        <v>36</v>
      </c>
    </row>
    <row r="23" spans="1:3" ht="15" customHeight="1">
      <c r="A23" s="114" t="s">
        <v>37</v>
      </c>
      <c r="B23" s="147" t="s">
        <v>15</v>
      </c>
      <c r="C23" s="115" t="s">
        <v>38</v>
      </c>
    </row>
    <row r="24" spans="1:3" ht="15" customHeight="1">
      <c r="A24" s="114" t="s">
        <v>39</v>
      </c>
      <c r="B24" s="147" t="s">
        <v>16</v>
      </c>
      <c r="C24" s="148" t="s">
        <v>40</v>
      </c>
    </row>
    <row r="25" spans="1:3" ht="15" customHeight="1">
      <c r="A25" s="114" t="s">
        <v>41</v>
      </c>
      <c r="B25" s="147" t="s">
        <v>16</v>
      </c>
      <c r="C25" s="115" t="s">
        <v>42</v>
      </c>
    </row>
    <row r="26" spans="1:3" ht="15" customHeight="1">
      <c r="A26" s="114" t="s">
        <v>43</v>
      </c>
      <c r="B26" s="147" t="s">
        <v>16</v>
      </c>
      <c r="C26" s="115" t="s">
        <v>44</v>
      </c>
    </row>
    <row r="27" spans="1:3" ht="15" customHeight="1">
      <c r="A27" s="114" t="s">
        <v>45</v>
      </c>
      <c r="B27" s="147" t="s">
        <v>16</v>
      </c>
      <c r="C27" s="115" t="s">
        <v>46</v>
      </c>
    </row>
    <row r="28" spans="1:3" ht="15" customHeight="1">
      <c r="A28" s="114" t="s">
        <v>47</v>
      </c>
      <c r="B28" s="147" t="s">
        <v>17</v>
      </c>
      <c r="C28" s="115" t="s">
        <v>48</v>
      </c>
    </row>
    <row r="29" spans="1:3" ht="15" customHeight="1">
      <c r="A29" s="114" t="s">
        <v>49</v>
      </c>
      <c r="B29" s="147" t="s">
        <v>17</v>
      </c>
      <c r="C29" s="115" t="s">
        <v>50</v>
      </c>
    </row>
    <row r="30" spans="1:3" ht="15" customHeight="1">
      <c r="A30" s="114" t="s">
        <v>51</v>
      </c>
      <c r="B30" s="147" t="s">
        <v>17</v>
      </c>
      <c r="C30" s="115" t="s">
        <v>52</v>
      </c>
    </row>
    <row r="31" spans="1:3" ht="15" customHeight="1">
      <c r="A31" s="114" t="s">
        <v>53</v>
      </c>
      <c r="B31" s="147" t="s">
        <v>17</v>
      </c>
      <c r="C31" s="115" t="s">
        <v>54</v>
      </c>
    </row>
    <row r="32" spans="1:3" ht="15" customHeight="1">
      <c r="A32" s="114" t="s">
        <v>55</v>
      </c>
      <c r="B32" s="147" t="s">
        <v>17</v>
      </c>
      <c r="C32" s="115" t="s">
        <v>56</v>
      </c>
    </row>
    <row r="33" spans="1:3" ht="15" customHeight="1">
      <c r="A33" s="114" t="s">
        <v>57</v>
      </c>
      <c r="B33" s="147" t="s">
        <v>17</v>
      </c>
      <c r="C33" s="115" t="s">
        <v>58</v>
      </c>
    </row>
    <row r="34" spans="1:3" ht="15" customHeight="1">
      <c r="A34" s="114" t="s">
        <v>59</v>
      </c>
      <c r="B34" s="147" t="s">
        <v>17</v>
      </c>
      <c r="C34" s="115" t="s">
        <v>60</v>
      </c>
    </row>
    <row r="35" spans="1:3" ht="15" customHeight="1">
      <c r="A35" s="114" t="s">
        <v>61</v>
      </c>
      <c r="B35" s="147" t="s">
        <v>17</v>
      </c>
      <c r="C35" s="115" t="s">
        <v>62</v>
      </c>
    </row>
    <row r="36" spans="1:3" ht="15" customHeight="1">
      <c r="A36" s="114" t="s">
        <v>63</v>
      </c>
      <c r="B36" s="147" t="s">
        <v>17</v>
      </c>
      <c r="C36" s="115" t="s">
        <v>64</v>
      </c>
    </row>
    <row r="37" spans="1:3" ht="15" customHeight="1">
      <c r="A37" s="114" t="s">
        <v>65</v>
      </c>
      <c r="B37" s="147" t="s">
        <v>18</v>
      </c>
      <c r="C37" s="115" t="s">
        <v>66</v>
      </c>
    </row>
    <row r="38" spans="1:3" ht="15" customHeight="1">
      <c r="A38" s="114" t="s">
        <v>67</v>
      </c>
      <c r="B38" s="147" t="s">
        <v>18</v>
      </c>
      <c r="C38" s="115" t="s">
        <v>68</v>
      </c>
    </row>
    <row r="39" spans="1:3" ht="15" customHeight="1">
      <c r="A39" s="114" t="s">
        <v>69</v>
      </c>
      <c r="B39" s="147" t="s">
        <v>18</v>
      </c>
      <c r="C39" s="115" t="s">
        <v>70</v>
      </c>
    </row>
    <row r="40" spans="1:3" ht="15" customHeight="1">
      <c r="A40" s="114" t="s">
        <v>71</v>
      </c>
      <c r="B40" s="147" t="s">
        <v>18</v>
      </c>
      <c r="C40" s="115" t="s">
        <v>72</v>
      </c>
    </row>
    <row r="41" spans="1:3" ht="15" customHeight="1">
      <c r="A41" s="114" t="s">
        <v>73</v>
      </c>
      <c r="B41" s="147" t="s">
        <v>18</v>
      </c>
      <c r="C41" s="115" t="s">
        <v>74</v>
      </c>
    </row>
    <row r="42" spans="1:3" ht="15" customHeight="1">
      <c r="A42" s="114" t="s">
        <v>75</v>
      </c>
      <c r="B42" s="147" t="s">
        <v>18</v>
      </c>
      <c r="C42" s="115" t="s">
        <v>76</v>
      </c>
    </row>
    <row r="43" spans="1:3" ht="15" customHeight="1">
      <c r="A43" s="114" t="s">
        <v>77</v>
      </c>
      <c r="B43" s="147" t="s">
        <v>18</v>
      </c>
      <c r="C43" s="115" t="s">
        <v>78</v>
      </c>
    </row>
    <row r="44" spans="1:3" ht="15" customHeight="1">
      <c r="A44" s="114" t="s">
        <v>79</v>
      </c>
      <c r="B44" s="147" t="s">
        <v>18</v>
      </c>
      <c r="C44" s="115" t="s">
        <v>80</v>
      </c>
    </row>
    <row r="45" spans="1:3" ht="15" customHeight="1">
      <c r="A45" s="114" t="s">
        <v>81</v>
      </c>
      <c r="B45" s="147" t="s">
        <v>19</v>
      </c>
      <c r="C45" s="115" t="s">
        <v>82</v>
      </c>
    </row>
    <row r="46" spans="1:3" ht="15" customHeight="1">
      <c r="A46" s="114" t="s">
        <v>83</v>
      </c>
      <c r="B46" s="147" t="s">
        <v>19</v>
      </c>
      <c r="C46" s="115" t="s">
        <v>84</v>
      </c>
    </row>
    <row r="47" spans="1:3" ht="15" customHeight="1">
      <c r="A47" s="114" t="s">
        <v>85</v>
      </c>
      <c r="B47" s="147" t="s">
        <v>19</v>
      </c>
      <c r="C47" s="115" t="s">
        <v>86</v>
      </c>
    </row>
    <row r="48" spans="1:3" ht="15" customHeight="1">
      <c r="A48" s="114" t="s">
        <v>87</v>
      </c>
      <c r="B48" s="147" t="s">
        <v>19</v>
      </c>
      <c r="C48" s="115" t="s">
        <v>88</v>
      </c>
    </row>
    <row r="49" spans="1:3" ht="15" customHeight="1">
      <c r="A49" s="114" t="s">
        <v>89</v>
      </c>
      <c r="B49" s="147" t="s">
        <v>19</v>
      </c>
      <c r="C49" s="115" t="s">
        <v>90</v>
      </c>
    </row>
    <row r="50" spans="1:3" ht="15" customHeight="1">
      <c r="A50" s="114" t="s">
        <v>91</v>
      </c>
      <c r="B50" s="147" t="s">
        <v>19</v>
      </c>
      <c r="C50" s="115" t="s">
        <v>92</v>
      </c>
    </row>
    <row r="51" spans="1:3" ht="15" customHeight="1">
      <c r="A51" s="114" t="s">
        <v>93</v>
      </c>
      <c r="B51" s="147" t="s">
        <v>19</v>
      </c>
      <c r="C51" s="115" t="s">
        <v>94</v>
      </c>
    </row>
    <row r="52" spans="1:3" ht="15" customHeight="1">
      <c r="A52" s="114" t="s">
        <v>95</v>
      </c>
      <c r="B52" s="147" t="s">
        <v>19</v>
      </c>
      <c r="C52" s="115" t="s">
        <v>96</v>
      </c>
    </row>
    <row r="53" spans="1:3" ht="15" customHeight="1">
      <c r="A53" s="114" t="s">
        <v>97</v>
      </c>
      <c r="B53" s="147" t="s">
        <v>20</v>
      </c>
      <c r="C53" s="115" t="s">
        <v>98</v>
      </c>
    </row>
    <row r="54" spans="1:3" ht="15" customHeight="1">
      <c r="A54" s="114" t="s">
        <v>99</v>
      </c>
      <c r="B54" s="147" t="s">
        <v>20</v>
      </c>
      <c r="C54" s="115" t="s">
        <v>100</v>
      </c>
    </row>
    <row r="55" spans="1:3" ht="15" customHeight="1">
      <c r="A55" s="114" t="s">
        <v>101</v>
      </c>
      <c r="B55" s="147" t="s">
        <v>20</v>
      </c>
      <c r="C55" s="115" t="s">
        <v>102</v>
      </c>
    </row>
    <row r="56" spans="1:3" ht="15" customHeight="1">
      <c r="A56" s="114" t="s">
        <v>103</v>
      </c>
      <c r="B56" s="147" t="s">
        <v>21</v>
      </c>
      <c r="C56" s="115" t="s">
        <v>104</v>
      </c>
    </row>
    <row r="57" spans="1:3" ht="15" customHeight="1">
      <c r="A57" s="114" t="s">
        <v>105</v>
      </c>
      <c r="B57" s="147" t="s">
        <v>21</v>
      </c>
      <c r="C57" s="115" t="s">
        <v>106</v>
      </c>
    </row>
    <row r="58" spans="1:3" ht="15" customHeight="1">
      <c r="A58" s="114" t="s">
        <v>107</v>
      </c>
      <c r="B58" s="149" t="s">
        <v>22</v>
      </c>
      <c r="C58" s="116" t="s">
        <v>108</v>
      </c>
    </row>
    <row r="59" spans="1:3" ht="15" customHeight="1">
      <c r="A59" s="114" t="s">
        <v>109</v>
      </c>
      <c r="B59" s="147" t="s">
        <v>22</v>
      </c>
      <c r="C59" s="115" t="s">
        <v>110</v>
      </c>
    </row>
    <row r="60" spans="1:3" ht="15" customHeight="1">
      <c r="A60" s="114" t="s">
        <v>111</v>
      </c>
      <c r="B60" s="149" t="s">
        <v>22</v>
      </c>
      <c r="C60" s="116" t="s">
        <v>112</v>
      </c>
    </row>
    <row r="61" spans="1:3" ht="15" customHeight="1">
      <c r="A61" s="114" t="s">
        <v>113</v>
      </c>
      <c r="B61" s="147" t="s">
        <v>23</v>
      </c>
      <c r="C61" s="115" t="s">
        <v>114</v>
      </c>
    </row>
    <row r="62" spans="1:3" ht="15" customHeight="1">
      <c r="A62" s="114" t="s">
        <v>115</v>
      </c>
      <c r="B62" s="147" t="s">
        <v>23</v>
      </c>
      <c r="C62" s="115" t="s">
        <v>116</v>
      </c>
    </row>
    <row r="63" spans="1:3" ht="15" customHeight="1">
      <c r="A63" s="114" t="s">
        <v>117</v>
      </c>
      <c r="B63" s="147" t="s">
        <v>23</v>
      </c>
      <c r="C63" s="115" t="s">
        <v>118</v>
      </c>
    </row>
    <row r="64" spans="1:3" ht="15" customHeight="1">
      <c r="A64" s="114" t="s">
        <v>119</v>
      </c>
      <c r="B64" s="147" t="s">
        <v>23</v>
      </c>
      <c r="C64" s="115" t="s">
        <v>120</v>
      </c>
    </row>
    <row r="65" spans="1:3" ht="15" customHeight="1">
      <c r="A65" s="114" t="s">
        <v>121</v>
      </c>
      <c r="B65" s="147" t="s">
        <v>23</v>
      </c>
      <c r="C65" s="115" t="s">
        <v>122</v>
      </c>
    </row>
    <row r="66" spans="1:3" ht="15" customHeight="1">
      <c r="A66" s="114" t="s">
        <v>123</v>
      </c>
      <c r="B66" s="147" t="s">
        <v>23</v>
      </c>
      <c r="C66" s="115" t="s">
        <v>124</v>
      </c>
    </row>
    <row r="67" spans="1:3" ht="15" customHeight="1">
      <c r="A67" s="114" t="s">
        <v>125</v>
      </c>
      <c r="B67" s="147" t="s">
        <v>23</v>
      </c>
      <c r="C67" s="115" t="s">
        <v>126</v>
      </c>
    </row>
    <row r="68" spans="1:3" ht="15" customHeight="1">
      <c r="A68" s="114" t="s">
        <v>127</v>
      </c>
      <c r="B68" s="147" t="s">
        <v>23</v>
      </c>
      <c r="C68" s="115" t="s">
        <v>128</v>
      </c>
    </row>
    <row r="69" spans="1:3" ht="15" customHeight="1">
      <c r="A69" s="114" t="s">
        <v>129</v>
      </c>
      <c r="B69" s="147" t="s">
        <v>23</v>
      </c>
      <c r="C69" s="115" t="s">
        <v>130</v>
      </c>
    </row>
    <row r="70" spans="1:3" ht="15" customHeight="1">
      <c r="A70" s="114" t="s">
        <v>131</v>
      </c>
      <c r="B70" s="147" t="s">
        <v>23</v>
      </c>
      <c r="C70" s="115" t="s">
        <v>132</v>
      </c>
    </row>
    <row r="71" spans="1:3" ht="15" customHeight="1">
      <c r="A71" s="114" t="s">
        <v>133</v>
      </c>
      <c r="B71" s="147" t="s">
        <v>23</v>
      </c>
      <c r="C71" s="115" t="s">
        <v>134</v>
      </c>
    </row>
    <row r="72" spans="1:3" ht="15" customHeight="1">
      <c r="A72" s="114" t="s">
        <v>135</v>
      </c>
      <c r="B72" s="147" t="s">
        <v>23</v>
      </c>
      <c r="C72" s="115" t="s">
        <v>136</v>
      </c>
    </row>
    <row r="73" spans="1:3" ht="15" customHeight="1">
      <c r="A73" s="114" t="s">
        <v>137</v>
      </c>
      <c r="B73" s="147" t="s">
        <v>24</v>
      </c>
      <c r="C73" s="115" t="s">
        <v>138</v>
      </c>
    </row>
    <row r="74" spans="1:3" ht="15" customHeight="1">
      <c r="A74" s="114" t="s">
        <v>139</v>
      </c>
      <c r="B74" s="147" t="s">
        <v>24</v>
      </c>
      <c r="C74" s="115" t="s">
        <v>140</v>
      </c>
    </row>
    <row r="75" spans="1:3" ht="15" customHeight="1">
      <c r="A75" s="114" t="s">
        <v>141</v>
      </c>
      <c r="B75" s="147" t="s">
        <v>24</v>
      </c>
      <c r="C75" s="115" t="s">
        <v>142</v>
      </c>
    </row>
    <row r="76" spans="1:3" ht="15" customHeight="1">
      <c r="A76" s="114" t="s">
        <v>143</v>
      </c>
      <c r="B76" s="147" t="s">
        <v>24</v>
      </c>
      <c r="C76" s="115" t="s">
        <v>144</v>
      </c>
    </row>
    <row r="77" spans="1:3" ht="15" customHeight="1">
      <c r="A77" s="114" t="s">
        <v>145</v>
      </c>
      <c r="B77" s="147" t="s">
        <v>24</v>
      </c>
      <c r="C77" s="115" t="s">
        <v>146</v>
      </c>
    </row>
    <row r="78" spans="1:3" ht="15" customHeight="1">
      <c r="A78" s="114" t="s">
        <v>147</v>
      </c>
      <c r="B78" s="147" t="s">
        <v>24</v>
      </c>
      <c r="C78" s="115" t="s">
        <v>148</v>
      </c>
    </row>
    <row r="79" spans="1:3" ht="15" customHeight="1">
      <c r="A79" s="114" t="s">
        <v>149</v>
      </c>
      <c r="B79" s="147" t="s">
        <v>24</v>
      </c>
      <c r="C79" s="115" t="s">
        <v>150</v>
      </c>
    </row>
    <row r="80" spans="1:3" ht="15" customHeight="1">
      <c r="A80" s="114" t="s">
        <v>151</v>
      </c>
      <c r="B80" s="147" t="s">
        <v>24</v>
      </c>
      <c r="C80" s="115" t="s">
        <v>152</v>
      </c>
    </row>
    <row r="81" spans="1:3" ht="15" customHeight="1">
      <c r="A81" s="114" t="s">
        <v>153</v>
      </c>
      <c r="B81" s="147" t="s">
        <v>24</v>
      </c>
      <c r="C81" s="115" t="s">
        <v>154</v>
      </c>
    </row>
    <row r="82" spans="1:3" ht="15" customHeight="1">
      <c r="A82" s="114" t="s">
        <v>155</v>
      </c>
      <c r="B82" s="147" t="s">
        <v>24</v>
      </c>
      <c r="C82" s="115" t="s">
        <v>156</v>
      </c>
    </row>
    <row r="83" spans="1:3" ht="15" customHeight="1">
      <c r="A83" s="114" t="s">
        <v>157</v>
      </c>
      <c r="B83" s="147" t="s">
        <v>24</v>
      </c>
      <c r="C83" s="115" t="s">
        <v>158</v>
      </c>
    </row>
    <row r="84" spans="1:3" ht="15" customHeight="1">
      <c r="A84" s="114" t="s">
        <v>159</v>
      </c>
      <c r="B84" s="147" t="s">
        <v>25</v>
      </c>
      <c r="C84" s="115" t="s">
        <v>160</v>
      </c>
    </row>
    <row r="85" spans="1:3" ht="15" customHeight="1">
      <c r="A85" s="114" t="s">
        <v>161</v>
      </c>
      <c r="B85" s="147" t="s">
        <v>26</v>
      </c>
      <c r="C85" s="115" t="s">
        <v>162</v>
      </c>
    </row>
    <row r="86" spans="1:3" ht="15" customHeight="1">
      <c r="A86" s="114" t="s">
        <v>163</v>
      </c>
      <c r="B86" s="149" t="s">
        <v>26</v>
      </c>
      <c r="C86" s="116" t="s">
        <v>164</v>
      </c>
    </row>
    <row r="87" spans="1:3" ht="15" customHeight="1">
      <c r="A87" s="114" t="s">
        <v>165</v>
      </c>
      <c r="B87" s="149" t="s">
        <v>26</v>
      </c>
      <c r="C87" s="116" t="s">
        <v>166</v>
      </c>
    </row>
    <row r="88" spans="1:3" ht="15" customHeight="1">
      <c r="A88" s="114" t="s">
        <v>167</v>
      </c>
      <c r="B88" s="147" t="s">
        <v>26</v>
      </c>
      <c r="C88" s="115" t="s">
        <v>168</v>
      </c>
    </row>
    <row r="89" spans="1:3" ht="15" customHeight="1">
      <c r="A89" s="117" t="s">
        <v>169</v>
      </c>
      <c r="B89" s="150" t="s">
        <v>27</v>
      </c>
      <c r="C89" s="118" t="s">
        <v>170</v>
      </c>
    </row>
  </sheetData>
  <mergeCells count="1">
    <mergeCell ref="A1:C1"/>
  </mergeCell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20B3-5828-49EA-B24A-53521879710C}">
  <sheetPr>
    <tabColor theme="2"/>
  </sheetPr>
  <dimension ref="A1:D128"/>
  <sheetViews>
    <sheetView showGridLines="0" topLeftCell="A37" zoomScale="40" zoomScaleNormal="40" workbookViewId="0">
      <selection activeCell="B4" sqref="B4"/>
    </sheetView>
  </sheetViews>
  <sheetFormatPr defaultColWidth="11.42578125" defaultRowHeight="14.45"/>
  <cols>
    <col min="1" max="1" width="38.85546875" customWidth="1"/>
    <col min="2" max="2" width="41.140625" customWidth="1"/>
    <col min="3" max="3" width="53.42578125" customWidth="1"/>
    <col min="4" max="4" width="43.5703125" customWidth="1"/>
    <col min="5" max="5" width="28.140625" customWidth="1"/>
    <col min="6" max="6" width="40.140625" customWidth="1"/>
    <col min="7" max="7" width="46.42578125" customWidth="1"/>
    <col min="8" max="8" width="19.140625" customWidth="1"/>
  </cols>
  <sheetData>
    <row r="1" spans="1:4" ht="18.600000000000001">
      <c r="A1" s="322" t="s">
        <v>171</v>
      </c>
      <c r="B1" s="322"/>
      <c r="C1" s="322"/>
      <c r="D1" s="322"/>
    </row>
    <row r="2" spans="1:4" ht="18.600000000000001">
      <c r="A2" s="323" t="s">
        <v>172</v>
      </c>
      <c r="B2" s="323"/>
      <c r="C2" s="323"/>
      <c r="D2" s="323"/>
    </row>
    <row r="4" spans="1:4" ht="15.6">
      <c r="A4" s="170" t="s">
        <v>173</v>
      </c>
    </row>
    <row r="6" spans="1:4">
      <c r="B6" s="129" t="s">
        <v>174</v>
      </c>
      <c r="C6" s="129" t="s">
        <v>175</v>
      </c>
    </row>
    <row r="7" spans="1:4">
      <c r="B7" s="163" t="s">
        <v>176</v>
      </c>
      <c r="C7" s="171" t="s">
        <v>177</v>
      </c>
    </row>
    <row r="8" spans="1:4">
      <c r="B8" s="172" t="s">
        <v>178</v>
      </c>
      <c r="C8" s="171" t="s">
        <v>179</v>
      </c>
    </row>
    <row r="9" spans="1:4">
      <c r="B9" s="173" t="s">
        <v>180</v>
      </c>
      <c r="C9" s="171" t="s">
        <v>181</v>
      </c>
    </row>
    <row r="10" spans="1:4">
      <c r="B10" s="174" t="s">
        <v>182</v>
      </c>
      <c r="C10" s="171" t="s">
        <v>183</v>
      </c>
    </row>
    <row r="11" spans="1:4">
      <c r="B11" s="176" t="s">
        <v>184</v>
      </c>
      <c r="C11" s="171" t="s">
        <v>185</v>
      </c>
    </row>
    <row r="12" spans="1:4">
      <c r="B12" s="178" t="s">
        <v>186</v>
      </c>
      <c r="C12" s="171" t="s">
        <v>187</v>
      </c>
    </row>
    <row r="14" spans="1:4" ht="15.6">
      <c r="A14" s="170" t="s">
        <v>188</v>
      </c>
    </row>
    <row r="16" spans="1:4">
      <c r="B16" s="129" t="s">
        <v>189</v>
      </c>
      <c r="C16" s="129" t="s">
        <v>174</v>
      </c>
      <c r="D16" s="129" t="s">
        <v>190</v>
      </c>
    </row>
    <row r="17" spans="2:4">
      <c r="B17" s="316" t="s">
        <v>178</v>
      </c>
      <c r="C17" s="177" t="s">
        <v>191</v>
      </c>
      <c r="D17" s="171" t="s">
        <v>192</v>
      </c>
    </row>
    <row r="18" spans="2:4">
      <c r="B18" s="317"/>
      <c r="C18" s="177" t="s">
        <v>193</v>
      </c>
      <c r="D18" s="171" t="s">
        <v>192</v>
      </c>
    </row>
    <row r="19" spans="2:4" ht="14.45" customHeight="1">
      <c r="B19" s="317"/>
      <c r="C19" s="177" t="s">
        <v>194</v>
      </c>
      <c r="D19" s="171" t="s">
        <v>192</v>
      </c>
    </row>
    <row r="20" spans="2:4">
      <c r="B20" s="317"/>
      <c r="C20" s="177" t="s">
        <v>195</v>
      </c>
      <c r="D20" s="171" t="s">
        <v>192</v>
      </c>
    </row>
    <row r="21" spans="2:4">
      <c r="B21" s="317"/>
      <c r="C21" s="177" t="s">
        <v>196</v>
      </c>
      <c r="D21" s="171" t="s">
        <v>192</v>
      </c>
    </row>
    <row r="22" spans="2:4">
      <c r="B22" s="317"/>
      <c r="C22" s="177" t="s">
        <v>197</v>
      </c>
      <c r="D22" s="171" t="s">
        <v>192</v>
      </c>
    </row>
    <row r="23" spans="2:4">
      <c r="B23" s="317"/>
      <c r="C23" s="177" t="s">
        <v>198</v>
      </c>
      <c r="D23" s="171" t="s">
        <v>192</v>
      </c>
    </row>
    <row r="24" spans="2:4">
      <c r="B24" s="318"/>
      <c r="C24" s="177" t="s">
        <v>199</v>
      </c>
      <c r="D24" s="171" t="s">
        <v>192</v>
      </c>
    </row>
    <row r="25" spans="2:4">
      <c r="B25" s="319" t="s">
        <v>180</v>
      </c>
      <c r="C25" s="177" t="s">
        <v>200</v>
      </c>
      <c r="D25" s="171" t="s">
        <v>192</v>
      </c>
    </row>
    <row r="26" spans="2:4">
      <c r="B26" s="319"/>
      <c r="C26" s="177" t="s">
        <v>201</v>
      </c>
      <c r="D26" s="171" t="s">
        <v>192</v>
      </c>
    </row>
    <row r="27" spans="2:4">
      <c r="B27" s="319"/>
      <c r="C27" s="177" t="s">
        <v>202</v>
      </c>
      <c r="D27" s="171" t="s">
        <v>192</v>
      </c>
    </row>
    <row r="28" spans="2:4">
      <c r="B28" s="319"/>
      <c r="C28" s="177" t="s">
        <v>203</v>
      </c>
      <c r="D28" s="171" t="s">
        <v>192</v>
      </c>
    </row>
    <row r="29" spans="2:4">
      <c r="B29" s="319"/>
      <c r="C29" s="177" t="s">
        <v>204</v>
      </c>
      <c r="D29" s="171" t="s">
        <v>192</v>
      </c>
    </row>
    <row r="30" spans="2:4">
      <c r="B30" s="319"/>
      <c r="C30" s="177" t="s">
        <v>205</v>
      </c>
      <c r="D30" s="171" t="s">
        <v>192</v>
      </c>
    </row>
    <row r="31" spans="2:4" ht="14.45" customHeight="1">
      <c r="B31" s="319"/>
      <c r="C31" s="177" t="s">
        <v>206</v>
      </c>
      <c r="D31" s="171" t="s">
        <v>192</v>
      </c>
    </row>
    <row r="32" spans="2:4">
      <c r="B32" s="320" t="s">
        <v>182</v>
      </c>
      <c r="C32" s="177" t="s">
        <v>207</v>
      </c>
      <c r="D32" s="171"/>
    </row>
    <row r="33" spans="1:4">
      <c r="B33" s="320"/>
      <c r="C33" s="177" t="s">
        <v>208</v>
      </c>
      <c r="D33" s="171"/>
    </row>
    <row r="34" spans="1:4">
      <c r="B34" s="320"/>
      <c r="C34" s="177" t="s">
        <v>209</v>
      </c>
      <c r="D34" s="171" t="s">
        <v>192</v>
      </c>
    </row>
    <row r="35" spans="1:4">
      <c r="B35" s="321" t="s">
        <v>184</v>
      </c>
      <c r="C35" s="177" t="s">
        <v>210</v>
      </c>
      <c r="D35" s="171"/>
    </row>
    <row r="36" spans="1:4">
      <c r="B36" s="321"/>
      <c r="C36" s="177" t="s">
        <v>211</v>
      </c>
      <c r="D36" s="171"/>
    </row>
    <row r="37" spans="1:4">
      <c r="B37" s="321"/>
      <c r="C37" s="177" t="s">
        <v>212</v>
      </c>
      <c r="D37" s="171"/>
    </row>
    <row r="38" spans="1:4">
      <c r="B38" s="179" t="s">
        <v>213</v>
      </c>
      <c r="C38" s="177" t="s">
        <v>214</v>
      </c>
      <c r="D38" s="171"/>
    </row>
    <row r="40" spans="1:4" ht="15.6">
      <c r="A40" s="170" t="s">
        <v>215</v>
      </c>
    </row>
    <row r="42" spans="1:4" ht="15.6">
      <c r="A42" s="197" t="s">
        <v>216</v>
      </c>
      <c r="B42" s="180"/>
    </row>
    <row r="44" spans="1:4" ht="15.6">
      <c r="B44" s="175" t="s">
        <v>217</v>
      </c>
    </row>
    <row r="45" spans="1:4" ht="29.1">
      <c r="B45" s="221" t="s">
        <v>218</v>
      </c>
    </row>
    <row r="46" spans="1:4" ht="29.1">
      <c r="B46" s="224" t="s">
        <v>219</v>
      </c>
    </row>
    <row r="47" spans="1:4" ht="29.1">
      <c r="B47" s="222" t="s">
        <v>220</v>
      </c>
    </row>
    <row r="48" spans="1:4">
      <c r="B48" s="164" t="s">
        <v>221</v>
      </c>
    </row>
    <row r="92" spans="1:2" ht="15.6">
      <c r="A92" s="197" t="s">
        <v>222</v>
      </c>
      <c r="B92" s="180"/>
    </row>
    <row r="124" spans="1:1" ht="15.6">
      <c r="A124" s="170" t="s">
        <v>223</v>
      </c>
    </row>
    <row r="125" spans="1:1">
      <c r="A125" t="s">
        <v>224</v>
      </c>
    </row>
    <row r="126" spans="1:1">
      <c r="A126" t="s">
        <v>225</v>
      </c>
    </row>
    <row r="127" spans="1:1">
      <c r="A127" t="s">
        <v>226</v>
      </c>
    </row>
    <row r="128" spans="1:1">
      <c r="A128" t="s">
        <v>227</v>
      </c>
    </row>
  </sheetData>
  <mergeCells count="6">
    <mergeCell ref="B17:B24"/>
    <mergeCell ref="B25:B31"/>
    <mergeCell ref="B32:B34"/>
    <mergeCell ref="B35:B37"/>
    <mergeCell ref="A1:D1"/>
    <mergeCell ref="A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9828-CBB8-4527-A544-F7D729A946AF}">
  <sheetPr>
    <tabColor theme="9" tint="0.79998168889431442"/>
  </sheetPr>
  <dimension ref="A2:E30"/>
  <sheetViews>
    <sheetView showGridLines="0" zoomScale="55" zoomScaleNormal="55" workbookViewId="0">
      <selection activeCell="B27" sqref="B27:C30"/>
    </sheetView>
  </sheetViews>
  <sheetFormatPr defaultColWidth="8.85546875" defaultRowHeight="14.45"/>
  <cols>
    <col min="1" max="1" width="24.85546875" customWidth="1"/>
    <col min="2" max="2" width="31.5703125" customWidth="1"/>
    <col min="3" max="3" width="38.42578125" customWidth="1"/>
    <col min="4" max="4" width="65.140625" bestFit="1" customWidth="1"/>
  </cols>
  <sheetData>
    <row r="2" spans="1:5" ht="15.6">
      <c r="A2" s="196" t="s">
        <v>216</v>
      </c>
    </row>
    <row r="3" spans="1:5" ht="15.6">
      <c r="B3" s="160" t="s">
        <v>217</v>
      </c>
    </row>
    <row r="4" spans="1:5" ht="29.1">
      <c r="B4" s="221" t="s">
        <v>228</v>
      </c>
    </row>
    <row r="5" spans="1:5" ht="29.1">
      <c r="B5" s="224" t="s">
        <v>219</v>
      </c>
    </row>
    <row r="6" spans="1:5" ht="29.1">
      <c r="B6" s="222" t="s">
        <v>220</v>
      </c>
    </row>
    <row r="7" spans="1:5" ht="29.1">
      <c r="B7" s="223" t="s">
        <v>229</v>
      </c>
    </row>
    <row r="8" spans="1:5">
      <c r="B8" s="164" t="s">
        <v>221</v>
      </c>
    </row>
    <row r="12" spans="1:5">
      <c r="B12" s="324" t="s">
        <v>230</v>
      </c>
      <c r="C12" s="324"/>
      <c r="D12" s="151">
        <f>SUMPRODUCT(Staff_Location_Global[% or number of internals in this country],Staff_Location_Global[Carbon Intensity of the Electricity Mix per Geographical area (kgCO2e/kWH)])/SUM(Staff_Location_Global[% or number of internals in this country])</f>
        <v>0.47659000000000001</v>
      </c>
    </row>
    <row r="13" spans="1:5">
      <c r="B13" s="324" t="s">
        <v>231</v>
      </c>
      <c r="C13" s="324"/>
      <c r="D13" s="151">
        <f>SUMPRODUCT(Staff_Location_Cyber[% or number of internals in this country],Staff_Location_Cyber[Carbon Intensity of the Electricity Mix per Geographical area (kgCO2e/kWH)])/SUM(Staff_Location_Cyber[% or number of internals in this country])</f>
        <v>0.37575000000000003</v>
      </c>
    </row>
    <row r="14" spans="1:5">
      <c r="E14" s="32"/>
    </row>
    <row r="15" spans="1:5">
      <c r="E15" s="32"/>
    </row>
    <row r="16" spans="1:5" ht="21">
      <c r="A16" s="98" t="s">
        <v>232</v>
      </c>
      <c r="E16" s="32"/>
    </row>
    <row r="17" spans="1:5">
      <c r="B17" s="62" t="s">
        <v>233</v>
      </c>
      <c r="C17" s="61" t="s">
        <v>234</v>
      </c>
      <c r="D17" s="63" t="s">
        <v>235</v>
      </c>
      <c r="E17" s="32"/>
    </row>
    <row r="18" spans="1:5">
      <c r="B18" s="232" t="s">
        <v>236</v>
      </c>
      <c r="C18" s="233">
        <v>0.33</v>
      </c>
      <c r="D18" s="59">
        <f>IFERROR(VLOOKUP(Staff_Location_Global[[#This Row],[Country]],Mix_Energétique[],2,FALSE),0)</f>
        <v>0.58399999999999996</v>
      </c>
      <c r="E18" s="32"/>
    </row>
    <row r="19" spans="1:5">
      <c r="B19" s="232" t="s">
        <v>237</v>
      </c>
      <c r="C19" s="233">
        <v>0.33</v>
      </c>
      <c r="D19" s="59">
        <f>IFERROR(VLOOKUP(Staff_Location_Global[[#This Row],[Country]],Mix_Energétique[],2,FALSE),0)</f>
        <v>7.0999999999999994E-2</v>
      </c>
      <c r="E19" s="32"/>
    </row>
    <row r="20" spans="1:5">
      <c r="B20" s="232" t="s">
        <v>238</v>
      </c>
      <c r="C20" s="233">
        <v>0.34</v>
      </c>
      <c r="D20" s="59">
        <f>IFERROR(VLOOKUP(Staff_Location_Global[[#This Row],[Country]],Mix_Energétique[],2,FALSE),0)</f>
        <v>0.76600000000000001</v>
      </c>
      <c r="E20" s="32"/>
    </row>
    <row r="25" spans="1:5" ht="21">
      <c r="A25" s="98" t="s">
        <v>239</v>
      </c>
    </row>
    <row r="26" spans="1:5">
      <c r="B26" s="62" t="s">
        <v>233</v>
      </c>
      <c r="C26" s="61" t="s">
        <v>234</v>
      </c>
      <c r="D26" s="63" t="s">
        <v>235</v>
      </c>
    </row>
    <row r="27" spans="1:5">
      <c r="B27" s="108" t="s">
        <v>240</v>
      </c>
      <c r="C27" s="109">
        <v>0.25</v>
      </c>
      <c r="D27" s="59">
        <f>IFERROR(VLOOKUP(Staff_Location_Cyber[[#This Row],[Country]],Mix_Energétique[],2,FALSE),0)</f>
        <v>5.8000000000000003E-2</v>
      </c>
    </row>
    <row r="28" spans="1:5">
      <c r="B28" s="108" t="s">
        <v>241</v>
      </c>
      <c r="C28" s="109">
        <v>0.25</v>
      </c>
      <c r="D28" s="59">
        <f>IFERROR(VLOOKUP(Staff_Location_Cyber[[#This Row],[Country]],Mix_Energétique[],2,FALSE),0)</f>
        <v>0.58499999999999996</v>
      </c>
    </row>
    <row r="29" spans="1:5">
      <c r="B29" s="108" t="s">
        <v>242</v>
      </c>
      <c r="C29" s="109">
        <v>0.25</v>
      </c>
      <c r="D29" s="59">
        <f>IFERROR(VLOOKUP(Staff_Location_Cyber[[#This Row],[Country]],Mix_Energétique[],2,FALSE),0)</f>
        <v>0.22</v>
      </c>
    </row>
    <row r="30" spans="1:5">
      <c r="B30" s="108" t="s">
        <v>243</v>
      </c>
      <c r="C30" s="109">
        <v>0.25</v>
      </c>
      <c r="D30" s="60">
        <f>IFERROR(VLOOKUP(Staff_Location_Cyber[[#This Row],[Country]],Mix_Energétique[],2,FALSE),0)</f>
        <v>0.64</v>
      </c>
    </row>
  </sheetData>
  <mergeCells count="2">
    <mergeCell ref="B12:C12"/>
    <mergeCell ref="B13:C13"/>
  </mergeCells>
  <phoneticPr fontId="13" type="noConversion"/>
  <conditionalFormatting sqref="D18:D20">
    <cfRule type="cellIs" dxfId="682" priority="2" operator="equal">
      <formula>0</formula>
    </cfRule>
  </conditionalFormatting>
  <conditionalFormatting sqref="D27:D30">
    <cfRule type="cellIs" dxfId="681" priority="1" operator="equal">
      <formula>0</formula>
    </cfRule>
  </conditionalFormatting>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59FC6E0-4BAF-4454-9304-83B295C25C0E}">
          <x14:formula1>
            <xm:f>'3.1 Electricity mix'!$B$5:$B$142</xm:f>
          </x14:formula1>
          <xm:sqref>B18:B20 B27:B30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2E9E-71B3-4840-9C4F-6160BC7FBB4E}">
  <sheetPr>
    <tabColor theme="9" tint="0.79998168889431442"/>
  </sheetPr>
  <dimension ref="A2:L36"/>
  <sheetViews>
    <sheetView showGridLines="0" zoomScale="40" zoomScaleNormal="40" workbookViewId="0">
      <selection activeCell="L36" sqref="L36"/>
    </sheetView>
  </sheetViews>
  <sheetFormatPr defaultColWidth="8.85546875" defaultRowHeight="14.45"/>
  <cols>
    <col min="1" max="1" width="32.85546875" style="26" customWidth="1"/>
    <col min="2" max="2" width="74" style="26" customWidth="1"/>
    <col min="3" max="3" width="16.85546875" style="26" customWidth="1"/>
    <col min="4" max="4" width="18.5703125" style="26" customWidth="1"/>
    <col min="5" max="5" width="41.140625" style="26" customWidth="1"/>
    <col min="6" max="6" width="40.140625" style="26" customWidth="1"/>
    <col min="7" max="7" width="24.140625" style="26" customWidth="1"/>
    <col min="8" max="8" width="28.140625" style="26" customWidth="1"/>
    <col min="9" max="9" width="40.42578125" style="26" customWidth="1"/>
    <col min="10" max="10" width="43.85546875" style="26" customWidth="1"/>
    <col min="11" max="11" width="23.85546875" style="26" customWidth="1"/>
    <col min="12" max="12" width="19.85546875" style="26" customWidth="1"/>
    <col min="13" max="13" width="31.85546875" style="26" customWidth="1"/>
    <col min="14" max="16384" width="8.85546875" style="26"/>
  </cols>
  <sheetData>
    <row r="2" spans="1:12" ht="15.6">
      <c r="A2" s="196" t="s">
        <v>216</v>
      </c>
      <c r="B2"/>
    </row>
    <row r="3" spans="1:12" ht="15.6">
      <c r="A3"/>
      <c r="B3" s="160" t="s">
        <v>217</v>
      </c>
    </row>
    <row r="4" spans="1:12" ht="29.1">
      <c r="A4"/>
      <c r="B4" s="221" t="s">
        <v>228</v>
      </c>
    </row>
    <row r="5" spans="1:12" ht="29.1">
      <c r="A5"/>
      <c r="B5" s="224" t="s">
        <v>219</v>
      </c>
    </row>
    <row r="6" spans="1:12" ht="29.1">
      <c r="A6"/>
      <c r="B6" s="222" t="s">
        <v>220</v>
      </c>
    </row>
    <row r="7" spans="1:12" ht="29.1">
      <c r="A7"/>
      <c r="B7" s="223" t="s">
        <v>229</v>
      </c>
    </row>
    <row r="8" spans="1:12">
      <c r="B8" s="166" t="s">
        <v>221</v>
      </c>
    </row>
    <row r="12" spans="1:12" ht="21">
      <c r="A12" s="98" t="s">
        <v>244</v>
      </c>
    </row>
    <row r="13" spans="1:12">
      <c r="C13" s="119"/>
      <c r="D13" s="119"/>
      <c r="E13" s="119"/>
      <c r="F13" s="119"/>
      <c r="G13" s="119"/>
      <c r="H13" s="119"/>
      <c r="I13" s="119"/>
    </row>
    <row r="14" spans="1:12" s="25" customFormat="1" ht="38.450000000000003" customHeight="1">
      <c r="B14" s="96" t="s">
        <v>245</v>
      </c>
      <c r="C14" s="96" t="s">
        <v>246</v>
      </c>
      <c r="D14" s="96" t="s">
        <v>247</v>
      </c>
      <c r="E14" s="58" t="s">
        <v>248</v>
      </c>
      <c r="F14" s="58" t="s">
        <v>249</v>
      </c>
      <c r="G14" s="58" t="s">
        <v>250</v>
      </c>
      <c r="H14" s="58" t="s">
        <v>251</v>
      </c>
      <c r="I14" s="58" t="s">
        <v>252</v>
      </c>
      <c r="J14" s="58" t="s">
        <v>253</v>
      </c>
      <c r="K14" s="58" t="s">
        <v>254</v>
      </c>
    </row>
    <row r="15" spans="1:12" ht="29.1">
      <c r="B15" s="167" t="s">
        <v>255</v>
      </c>
      <c r="C15" s="230">
        <v>300</v>
      </c>
      <c r="D15" s="234">
        <v>5</v>
      </c>
      <c r="E15" s="95">
        <f>CI_Cyber_Staff</f>
        <v>0.37575000000000003</v>
      </c>
      <c r="F15" s="95" t="str">
        <f>'3.2 Emission Factors'!$C$8</f>
        <v>Workstation - Laptop any screen size - ADEME 2023, Base carbone</v>
      </c>
      <c r="G15" s="95">
        <f>VLOOKUP(Devices_Workstation_Laptop[[#This Row],[Emission Factor]],Tableau3[[Name]:[Consumption (kWh/year)]],6,FALSE)</f>
        <v>29.1</v>
      </c>
      <c r="H15" s="95">
        <f>VLOOKUP(Devices_Workstation_Laptop[[#This Row],[Emission Factor]],Tableau3[[Name]:[Consumption (kWh/year)]],5,FALSE)</f>
        <v>170.3</v>
      </c>
      <c r="I15" s="95">
        <f>IFERROR(Devices_Workstation_Laptop[[#This Row],[Electric consumption (kWh/year/unit)]]*Devices_Workstation_Laptop[[#This Row],[Energetic mix (kgCO2e/kWh)]]*Devices_Workstation_Laptop[[#This Row],[Quantity ]],0)</f>
        <v>3280.2975000000006</v>
      </c>
      <c r="J15" s="95">
        <f>Devices_Workstation_Laptop[[#This Row],[Manufacturing (kgCO2e/unit)]]*Devices_Workstation_Laptop[[#This Row],[Quantity ]]/Devices_Workstation_Laptop[[#This Row],[Lifespan]]</f>
        <v>10218</v>
      </c>
      <c r="K15" s="95">
        <f>Devices_Workstation_Laptop[[#This Row],[Scope 2 (kgC02e)]]+Devices_Workstation_Laptop[[#This Row],[Scope 3 (kgC02e)]]</f>
        <v>13498.297500000001</v>
      </c>
      <c r="L15" s="144"/>
    </row>
    <row r="16" spans="1:12" ht="29.1">
      <c r="B16" s="167" t="s">
        <v>256</v>
      </c>
      <c r="C16" s="234">
        <v>30</v>
      </c>
      <c r="D16" s="234">
        <v>5</v>
      </c>
      <c r="E16" s="95">
        <f>CI_Cyber_Staff</f>
        <v>0.37575000000000003</v>
      </c>
      <c r="F16" s="95" t="str">
        <f>'3.2 Emission Factors'!$C$8</f>
        <v>Workstation - Laptop any screen size - ADEME 2023, Base carbone</v>
      </c>
      <c r="G16" s="95">
        <f>VLOOKUP(Devices_Workstation_Laptop[[#This Row],[Emission Factor]],Tableau3[[Name]:[Consumption (kWh/year)]],6,FALSE)</f>
        <v>29.1</v>
      </c>
      <c r="H16" s="95">
        <f>VLOOKUP(Devices_Workstation_Laptop[[#This Row],[Emission Factor]],Tableau3[[Name]:[Consumption (kWh/year)]],5,FALSE)</f>
        <v>170.3</v>
      </c>
      <c r="I16" s="95">
        <f>IFERROR(Devices_Workstation_Laptop[[#This Row],[Electric consumption (kWh/year/unit)]]*Devices_Workstation_Laptop[[#This Row],[Energetic mix (kgCO2e/kWh)]]*Devices_Workstation_Laptop[[#This Row],[Quantity ]],0)</f>
        <v>328.02975000000004</v>
      </c>
      <c r="J16" s="95">
        <f>Devices_Workstation_Laptop[[#This Row],[Manufacturing (kgCO2e/unit)]]*Devices_Workstation_Laptop[[#This Row],[Quantity ]]/Devices_Workstation_Laptop[[#This Row],[Lifespan]]</f>
        <v>1021.8</v>
      </c>
      <c r="K16" s="95">
        <f>Devices_Workstation_Laptop[[#This Row],[Scope 2 (kgC02e)]]+Devices_Workstation_Laptop[[#This Row],[Scope 3 (kgC02e)]]</f>
        <v>1349.8297499999999</v>
      </c>
    </row>
    <row r="17" spans="1:12" ht="29.1">
      <c r="B17" s="167" t="s">
        <v>257</v>
      </c>
      <c r="C17" s="230">
        <v>3</v>
      </c>
      <c r="D17" s="234">
        <v>5</v>
      </c>
      <c r="E17" s="95">
        <f>CI_Group_Staff</f>
        <v>0.47659000000000001</v>
      </c>
      <c r="F17" s="95" t="str">
        <f>'3.2 Emission Factors'!$C$8</f>
        <v>Workstation - Laptop any screen size - ADEME 2023, Base carbone</v>
      </c>
      <c r="G17" s="95" t="s">
        <v>258</v>
      </c>
      <c r="H17" s="95">
        <f>VLOOKUP(Devices_Workstation_Laptop[[#This Row],[Emission Factor]],Tableau3[[Name]:[Consumption (kWh/year)]],5,FALSE)</f>
        <v>170.3</v>
      </c>
      <c r="I17" s="95">
        <f>IFERROR(Devices_Workstation_Laptop[[#This Row],[Electric consumption (kWh/year/unit)]]*Devices_Workstation_Laptop[[#This Row],[Energetic mix (kgCO2e/kWh)]]*Devices_Workstation_Laptop[[#This Row],[Quantity ]],0)</f>
        <v>0</v>
      </c>
      <c r="J17" s="95">
        <f>Devices_Workstation_Laptop[[#This Row],[Manufacturing (kgCO2e/unit)]]*Devices_Workstation_Laptop[[#This Row],[Quantity ]]/Devices_Workstation_Laptop[[#This Row],[Lifespan]]</f>
        <v>102.18</v>
      </c>
      <c r="K17" s="95">
        <f>Devices_Workstation_Laptop[[#This Row],[Scope 2 (kgC02e)]]+Devices_Workstation_Laptop[[#This Row],[Scope 3 (kgC02e)]]</f>
        <v>102.18</v>
      </c>
      <c r="L17" s="144"/>
    </row>
    <row r="18" spans="1:12">
      <c r="B18" s="198"/>
      <c r="C18" s="198"/>
    </row>
    <row r="19" spans="1:12" ht="21">
      <c r="A19" s="98" t="s">
        <v>259</v>
      </c>
      <c r="B19" s="198"/>
      <c r="C19" s="198"/>
    </row>
    <row r="20" spans="1:12">
      <c r="B20" s="198"/>
      <c r="C20" s="199"/>
      <c r="D20" s="119"/>
      <c r="E20" s="119"/>
      <c r="F20" s="119"/>
      <c r="G20" s="119"/>
      <c r="H20" s="119"/>
      <c r="I20" s="119"/>
    </row>
    <row r="21" spans="1:12" ht="29.1">
      <c r="A21" s="25"/>
      <c r="B21" s="200" t="s">
        <v>245</v>
      </c>
      <c r="C21" s="200" t="s">
        <v>246</v>
      </c>
      <c r="D21" s="96" t="s">
        <v>247</v>
      </c>
      <c r="E21" s="58" t="s">
        <v>248</v>
      </c>
      <c r="F21" s="58" t="s">
        <v>249</v>
      </c>
      <c r="G21" s="58" t="s">
        <v>250</v>
      </c>
      <c r="H21" s="58" t="s">
        <v>251</v>
      </c>
      <c r="I21" s="58" t="s">
        <v>252</v>
      </c>
      <c r="J21" s="58" t="s">
        <v>253</v>
      </c>
      <c r="K21" s="58" t="s">
        <v>254</v>
      </c>
    </row>
    <row r="22" spans="1:12" ht="29.1">
      <c r="B22" s="167" t="s">
        <v>255</v>
      </c>
      <c r="C22" s="234">
        <v>30</v>
      </c>
      <c r="D22" s="234">
        <v>8</v>
      </c>
      <c r="E22" s="95">
        <f>CI_Cyber_Staff</f>
        <v>0.37575000000000003</v>
      </c>
      <c r="F22" s="95" t="str">
        <f>'3.2 Emission Factors'!$C$9</f>
        <v>Workstation - Computer central unit alone - ADEME 2023, Base carbone</v>
      </c>
      <c r="G22" s="95">
        <f>VLOOKUP(Devices_Workstation_Desktop[[#This Row],[Emission Factor]],Tableau3[[Name]:[Consumption (kWh/year)]],6,FALSE)</f>
        <v>151</v>
      </c>
      <c r="H22" s="95">
        <f>VLOOKUP(Devices_Workstation_Desktop[[#This Row],[Emission Factor]],Tableau3[[Name]:[Consumption (kWh/year)]],5,FALSE)</f>
        <v>202.57769999999999</v>
      </c>
      <c r="I22" s="95">
        <f>IFERROR(Devices_Workstation_Desktop[[#This Row],[Electric consumption (kWh/year/unit)]]*Devices_Workstation_Desktop[[#This Row],[Energetic mix (kgCO2e/kWh)]]*Devices_Workstation_Desktop[[#This Row],[Quantity ]],0)</f>
        <v>1702.1475000000003</v>
      </c>
      <c r="J22" s="95">
        <f>Devices_Workstation_Desktop[[#This Row],[Manufacturing (kgCO2e/unit)]]*Devices_Workstation_Desktop[[#This Row],[Quantity ]]/Devices_Workstation_Desktop[[#This Row],[Lifespan]]</f>
        <v>759.66637500000002</v>
      </c>
      <c r="K22" s="95">
        <f>Devices_Workstation_Desktop[[#This Row],[Scope 2 (kgC02e)]]+Devices_Workstation_Desktop[[#This Row],[Scope 3 (kgC02e)]]</f>
        <v>2461.8138750000003</v>
      </c>
    </row>
    <row r="23" spans="1:12" ht="29.1">
      <c r="B23" s="167" t="s">
        <v>256</v>
      </c>
      <c r="C23" s="234">
        <v>3</v>
      </c>
      <c r="D23" s="234">
        <v>8</v>
      </c>
      <c r="E23" s="95">
        <f>CI_Cyber_Staff</f>
        <v>0.37575000000000003</v>
      </c>
      <c r="F23" s="95" t="str">
        <f>'3.2 Emission Factors'!$C$9</f>
        <v>Workstation - Computer central unit alone - ADEME 2023, Base carbone</v>
      </c>
      <c r="G23" s="95">
        <f>VLOOKUP(Devices_Workstation_Desktop[[#This Row],[Emission Factor]],Tableau3[[Name]:[Consumption (kWh/year)]],6,FALSE)</f>
        <v>151</v>
      </c>
      <c r="H23" s="95">
        <f>VLOOKUP(Devices_Workstation_Desktop[[#This Row],[Emission Factor]],Tableau3[[Name]:[Consumption (kWh/year)]],5,FALSE)</f>
        <v>202.57769999999999</v>
      </c>
      <c r="I23" s="95">
        <f>IFERROR(Devices_Workstation_Desktop[[#This Row],[Electric consumption (kWh/year/unit)]]*Devices_Workstation_Desktop[[#This Row],[Energetic mix (kgCO2e/kWh)]]*Devices_Workstation_Desktop[[#This Row],[Quantity ]],0)</f>
        <v>170.21475000000004</v>
      </c>
      <c r="J23" s="95">
        <f>Devices_Workstation_Desktop[[#This Row],[Manufacturing (kgCO2e/unit)]]*Devices_Workstation_Desktop[[#This Row],[Quantity ]]/Devices_Workstation_Desktop[[#This Row],[Lifespan]]</f>
        <v>75.96663749999999</v>
      </c>
      <c r="K23" s="95">
        <f>Devices_Workstation_Desktop[[#This Row],[Scope 2 (kgC02e)]]+Devices_Workstation_Desktop[[#This Row],[Scope 3 (kgC02e)]]</f>
        <v>246.18138750000003</v>
      </c>
    </row>
    <row r="24" spans="1:12" ht="29.1">
      <c r="B24" s="167" t="s">
        <v>257</v>
      </c>
      <c r="C24" s="234">
        <v>1</v>
      </c>
      <c r="D24" s="234">
        <v>8</v>
      </c>
      <c r="E24" s="95">
        <f>CI_Group_Staff</f>
        <v>0.47659000000000001</v>
      </c>
      <c r="F24" s="95" t="str">
        <f>'3.2 Emission Factors'!$C$9</f>
        <v>Workstation - Computer central unit alone - ADEME 2023, Base carbone</v>
      </c>
      <c r="G24" s="95" t="s">
        <v>258</v>
      </c>
      <c r="H24" s="95">
        <f>VLOOKUP(Devices_Workstation_Desktop[[#This Row],[Emission Factor]],Tableau3[[Name]:[Consumption (kWh/year)]],5,FALSE)</f>
        <v>202.57769999999999</v>
      </c>
      <c r="I24" s="95">
        <f>IFERROR(Devices_Workstation_Desktop[[#This Row],[Electric consumption (kWh/year/unit)]]*Devices_Workstation_Desktop[[#This Row],[Energetic mix (kgCO2e/kWh)]]*Devices_Workstation_Desktop[[#This Row],[Quantity ]],0)</f>
        <v>0</v>
      </c>
      <c r="J24" s="95">
        <f>Devices_Workstation_Desktop[[#This Row],[Manufacturing (kgCO2e/unit)]]*Devices_Workstation_Desktop[[#This Row],[Quantity ]]/Devices_Workstation_Desktop[[#This Row],[Lifespan]]</f>
        <v>25.322212499999999</v>
      </c>
      <c r="K24" s="95">
        <f>Devices_Workstation_Desktop[[#This Row],[Scope 2 (kgC02e)]]+Devices_Workstation_Desktop[[#This Row],[Scope 3 (kgC02e)]]</f>
        <v>25.322212499999999</v>
      </c>
    </row>
    <row r="25" spans="1:12">
      <c r="B25" s="198"/>
      <c r="C25" s="198"/>
    </row>
    <row r="26" spans="1:12">
      <c r="B26" s="198"/>
      <c r="C26" s="198"/>
    </row>
    <row r="27" spans="1:12" ht="21">
      <c r="A27" s="98" t="s">
        <v>260</v>
      </c>
    </row>
    <row r="28" spans="1:12">
      <c r="C28" s="119"/>
      <c r="D28" s="119"/>
      <c r="E28" s="119"/>
      <c r="F28" s="119"/>
      <c r="G28" s="119"/>
      <c r="H28" s="119"/>
      <c r="I28" s="119"/>
    </row>
    <row r="29" spans="1:12" ht="29.1">
      <c r="B29" s="58" t="s">
        <v>245</v>
      </c>
      <c r="C29" s="58" t="s">
        <v>246</v>
      </c>
      <c r="D29" s="58" t="s">
        <v>247</v>
      </c>
      <c r="E29" s="58" t="s">
        <v>248</v>
      </c>
      <c r="F29" s="58" t="s">
        <v>249</v>
      </c>
      <c r="G29" s="58" t="s">
        <v>250</v>
      </c>
      <c r="H29" s="58" t="s">
        <v>251</v>
      </c>
      <c r="I29" s="58" t="s">
        <v>252</v>
      </c>
      <c r="J29" s="58" t="s">
        <v>253</v>
      </c>
      <c r="K29" s="58" t="s">
        <v>254</v>
      </c>
    </row>
    <row r="30" spans="1:12" ht="29.1">
      <c r="B30" s="168" t="s">
        <v>261</v>
      </c>
      <c r="C30" s="235">
        <v>155</v>
      </c>
      <c r="D30" s="236">
        <v>8</v>
      </c>
      <c r="E30" s="95">
        <f>CI_Cyber_Staff</f>
        <v>0.37575000000000003</v>
      </c>
      <c r="F30" s="95" t="str" cm="1">
        <f t="array" ref="F30">'3.2 Emission Factors'!FE_Ecrans_bureautiques</f>
        <v>Office monitors - All screen sizes - ADEME 2023, Base carbone</v>
      </c>
      <c r="G30" s="95">
        <f>VLOOKUP(Tableau43940[[#This Row],[Emission Factor]],Tableau27[[Name]:[Consumption (kWh/year)]],6)</f>
        <v>70</v>
      </c>
      <c r="H30" s="95">
        <f>VLOOKUP(Tableau43940[[#This Row],[Emission Factor]],Tableau27[[Name]:[Consumption (kWh/year)]],5)</f>
        <v>64.599999999999994</v>
      </c>
      <c r="I30" s="95">
        <f>Tableau43940[[#This Row],[Electric consumption (kWh/year/unit)]]*Tableau43940[[#This Row],[Energetic mix (kgCO2e/kWh)]]*Tableau43940[[#This Row],[Quantity ]]</f>
        <v>4076.8875000000003</v>
      </c>
      <c r="J30" s="95">
        <f>Tableau43940[[#This Row],[Manufacturing (kgCO2e/unit)]]*Tableau43940[[#This Row],[Quantity ]]/Tableau43940[[#This Row],[Lifespan]]</f>
        <v>1251.625</v>
      </c>
      <c r="K30" s="95">
        <f>Tableau43940[[#This Row],[Scope 2 (kgC02e)]]+Tableau43940[[#This Row],[Scope 3 (kgC02e)]]</f>
        <v>5328.5125000000007</v>
      </c>
      <c r="L30" s="144" t="s">
        <v>262</v>
      </c>
    </row>
    <row r="33" spans="1:12" ht="21">
      <c r="A33" s="98" t="s">
        <v>263</v>
      </c>
    </row>
    <row r="34" spans="1:12">
      <c r="C34" s="119"/>
      <c r="D34" s="119"/>
      <c r="E34" s="119"/>
      <c r="F34" s="119"/>
      <c r="G34" s="119"/>
      <c r="H34" s="119"/>
      <c r="I34" s="119"/>
    </row>
    <row r="35" spans="1:12" ht="29.1">
      <c r="B35" s="58" t="s">
        <v>245</v>
      </c>
      <c r="C35" s="58" t="s">
        <v>246</v>
      </c>
      <c r="D35" s="58" t="s">
        <v>247</v>
      </c>
      <c r="E35" s="58" t="s">
        <v>248</v>
      </c>
      <c r="F35" s="58" t="s">
        <v>249</v>
      </c>
      <c r="G35" s="58" t="s">
        <v>250</v>
      </c>
      <c r="H35" s="58" t="s">
        <v>264</v>
      </c>
      <c r="I35" s="58" t="s">
        <v>252</v>
      </c>
      <c r="J35" s="58" t="s">
        <v>253</v>
      </c>
      <c r="K35" s="58" t="s">
        <v>254</v>
      </c>
    </row>
    <row r="36" spans="1:12" ht="29.1">
      <c r="B36" s="168" t="s">
        <v>265</v>
      </c>
      <c r="C36" s="235">
        <v>20</v>
      </c>
      <c r="D36" s="231">
        <v>2.5</v>
      </c>
      <c r="E36" s="95">
        <f>CI_Cyber_Staff</f>
        <v>0.37575000000000003</v>
      </c>
      <c r="F36" s="95" t="str">
        <f>'3.2 Emission Factors'!$C$27</f>
        <v>Phones - Smartphones   - ADEME 2023, Base carbone</v>
      </c>
      <c r="G36" s="95">
        <f>VLOOKUP(Devices_Smartphones[[#This Row],[Emission Factor]],Tableau25[[Name]:[Consumption (kWh/year)]],6,FALSE)</f>
        <v>3.9</v>
      </c>
      <c r="H36" s="95">
        <f>VLOOKUP(Devices_Smartphones[[#This Row],[Emission Factor]],Tableau25[[Name]:[Consumption (kWh/year)]],5,FALSE)</f>
        <v>77.033333333333303</v>
      </c>
      <c r="I36" s="95">
        <f>Devices_Smartphones[[#This Row],[Electric consumption (kWh/year/unit)]]*Devices_Smartphones[[#This Row],[Energetic mix (kgCO2e/kWh)]]*Devices_Smartphones[[#This Row],[Quantity ]]</f>
        <v>29.308499999999999</v>
      </c>
      <c r="J36" s="95">
        <f>Devices_Smartphones[[#This Row],[Manufacturing (kgCO2e/year of usage/unit)]]*Devices_Smartphones[[#This Row],[Quantity ]]/Devices_Smartphones[[#This Row],[Lifespan]]</f>
        <v>616.26666666666642</v>
      </c>
      <c r="K36" s="95">
        <f>Devices_Smartphones[[#This Row],[Scope 2 (kgC02e)]]+Devices_Smartphones[[#This Row],[Scope 3 (kgC02e)]]</f>
        <v>645.57516666666641</v>
      </c>
      <c r="L36" s="144"/>
    </row>
  </sheetData>
  <conditionalFormatting sqref="I15:I16 J15:K17 I22:I23 J22:K24">
    <cfRule type="cellIs" dxfId="666" priority="4" operator="equal">
      <formula>0</formula>
    </cfRule>
  </conditionalFormatting>
  <conditionalFormatting sqref="I30:K30">
    <cfRule type="cellIs" dxfId="665" priority="3" operator="equal">
      <formula>0</formula>
    </cfRule>
  </conditionalFormatting>
  <conditionalFormatting sqref="I36:K36">
    <cfRule type="cellIs" dxfId="664" priority="2" operator="equal">
      <formula>0</formula>
    </cfRule>
  </conditionalFormatting>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253CF-97D2-4C8C-8479-264C333B4E3B}">
  <sheetPr>
    <tabColor theme="9" tint="0.79998168889431442"/>
  </sheetPr>
  <dimension ref="A2:N36"/>
  <sheetViews>
    <sheetView showGridLines="0" zoomScale="40" zoomScaleNormal="40" workbookViewId="0">
      <selection activeCell="C17" sqref="C17:F17"/>
    </sheetView>
  </sheetViews>
  <sheetFormatPr defaultColWidth="8.85546875" defaultRowHeight="14.45"/>
  <cols>
    <col min="1" max="1" width="51.140625" style="26" customWidth="1"/>
    <col min="2" max="2" width="32.28515625" style="26" bestFit="1" customWidth="1"/>
    <col min="3" max="3" width="17" style="26" customWidth="1"/>
    <col min="4" max="4" width="17.85546875" style="26" customWidth="1"/>
    <col min="5" max="5" width="17.140625" style="26" customWidth="1"/>
    <col min="6" max="6" width="24.140625" style="26" customWidth="1"/>
    <col min="7" max="7" width="36.5703125" style="26" customWidth="1"/>
    <col min="8" max="8" width="31" style="26" customWidth="1"/>
    <col min="9" max="9" width="35.85546875" style="26" customWidth="1"/>
    <col min="10" max="10" width="36.85546875" style="26" customWidth="1"/>
    <col min="11" max="11" width="25.5703125" style="26" customWidth="1"/>
    <col min="12" max="12" width="17.85546875" style="26" customWidth="1"/>
    <col min="13" max="13" width="25.85546875" style="26" customWidth="1"/>
    <col min="14" max="16384" width="8.85546875" style="26"/>
  </cols>
  <sheetData>
    <row r="2" spans="1:14" ht="15.6">
      <c r="A2" s="225" t="s">
        <v>216</v>
      </c>
      <c r="B2" s="3"/>
    </row>
    <row r="3" spans="1:14" ht="15.6">
      <c r="A3" s="3"/>
      <c r="B3" s="226" t="s">
        <v>217</v>
      </c>
    </row>
    <row r="4" spans="1:14" ht="29.1">
      <c r="A4" s="3"/>
      <c r="B4" s="227" t="s">
        <v>228</v>
      </c>
    </row>
    <row r="5" spans="1:14" ht="29.1">
      <c r="A5" s="3"/>
      <c r="B5" s="224" t="s">
        <v>219</v>
      </c>
    </row>
    <row r="6" spans="1:14" ht="29.1">
      <c r="A6" s="3"/>
      <c r="B6" s="228" t="s">
        <v>220</v>
      </c>
    </row>
    <row r="7" spans="1:14" ht="29.1">
      <c r="A7" s="3"/>
      <c r="B7" s="229" t="s">
        <v>229</v>
      </c>
    </row>
    <row r="8" spans="1:14">
      <c r="B8" s="166" t="s">
        <v>221</v>
      </c>
    </row>
    <row r="12" spans="1:14" ht="42">
      <c r="A12" s="98" t="s">
        <v>266</v>
      </c>
    </row>
    <row r="13" spans="1:14">
      <c r="C13" s="119"/>
      <c r="D13" s="119"/>
      <c r="E13" s="119"/>
      <c r="F13" s="119"/>
      <c r="G13" s="119"/>
      <c r="H13" s="119"/>
      <c r="I13" s="119"/>
      <c r="J13" s="119"/>
    </row>
    <row r="14" spans="1:14" s="25" customFormat="1">
      <c r="B14" s="96" t="s">
        <v>267</v>
      </c>
      <c r="C14" s="96" t="s">
        <v>268</v>
      </c>
      <c r="D14" s="96" t="s">
        <v>246</v>
      </c>
      <c r="E14" s="96" t="s">
        <v>247</v>
      </c>
      <c r="F14" s="96" t="s">
        <v>269</v>
      </c>
      <c r="G14" s="58" t="s">
        <v>248</v>
      </c>
      <c r="H14" s="58" t="s">
        <v>249</v>
      </c>
      <c r="I14" s="58" t="s">
        <v>250</v>
      </c>
      <c r="J14" s="58" t="s">
        <v>251</v>
      </c>
      <c r="K14" s="58" t="s">
        <v>252</v>
      </c>
      <c r="L14" s="106" t="s">
        <v>253</v>
      </c>
      <c r="M14" s="106" t="s">
        <v>254</v>
      </c>
    </row>
    <row r="15" spans="1:14" ht="29.1">
      <c r="B15" s="101"/>
      <c r="C15" s="230">
        <v>1.59</v>
      </c>
      <c r="D15" s="230">
        <v>360</v>
      </c>
      <c r="E15" s="230">
        <v>6</v>
      </c>
      <c r="F15" s="231" t="s">
        <v>240</v>
      </c>
      <c r="G15" s="95">
        <f>IFERROR(VLOOKUP(Network_Proxy[[#This Row],[Location]],Mix_Energétique[],2,FALSE),0)</f>
        <v>5.8000000000000003E-2</v>
      </c>
      <c r="H15" s="95" t="str">
        <f>'3.2 Emission Factors'!FE_Firewalls</f>
        <v>Network - Firewall - ADEME 2014, Base carbone</v>
      </c>
      <c r="I15" s="95">
        <f>VLOOKUP(Network_Proxy[[#This Row],[Emission Factor]],Tableau31[[Name]:[Consumption (kWh/year)]],6,FALSE)</f>
        <v>158</v>
      </c>
      <c r="J15" s="95">
        <f>VLOOKUP(Network_Proxy[[#This Row],[Emission Factor]],Tableau31[[Name]:[Consumption (kWh/year)]],5,FALSE)</f>
        <v>80.7</v>
      </c>
      <c r="K15" s="123">
        <f>Network_Proxy[[#This Row],[Electric consumption (kWh/year/unit)]]*Network_Proxy[[#This Row],[Energetic mix (kgCO2e/kWh)]]*Network_Proxy[[#This Row],[Quantity ]]*Network_Proxy[[#This Row],[PUE]]</f>
        <v>5245.4736000000003</v>
      </c>
      <c r="L15" s="123">
        <f>IFERROR(Network_Proxy[[#This Row],[Manufacturing (kgCO2e/unit)]]*Network_Proxy[[#This Row],[Quantity ]]/Network_Proxy[[#This Row],[Lifespan]],0)</f>
        <v>4842</v>
      </c>
      <c r="M15" s="123">
        <f>Network_Proxy[[#This Row],[Scope 2 (kgC02e)]]+Network_Proxy[[#This Row],[Scope 3 (kgC02e)]]</f>
        <v>10087.473600000001</v>
      </c>
      <c r="N15" s="144"/>
    </row>
    <row r="16" spans="1:14" ht="29.1">
      <c r="B16" s="101"/>
      <c r="C16" s="230">
        <v>1.59</v>
      </c>
      <c r="D16" s="230">
        <v>300</v>
      </c>
      <c r="E16" s="230">
        <v>6</v>
      </c>
      <c r="F16" s="231" t="s">
        <v>240</v>
      </c>
      <c r="G16" s="95">
        <f>IFERROR(VLOOKUP(Network_Proxy[[#This Row],[Location]],Mix_Energétique[],2,FALSE),0)</f>
        <v>5.8000000000000003E-2</v>
      </c>
      <c r="H16" s="95" t="str">
        <f>'3.2 Emission Factors'!FE_Firewalls</f>
        <v>Network - Firewall - ADEME 2014, Base carbone</v>
      </c>
      <c r="I16" s="95">
        <f>VLOOKUP(Network_Proxy[[#This Row],[Emission Factor]],Tableau31[[Name]:[Consumption (kWh/year)]],6,FALSE)</f>
        <v>158</v>
      </c>
      <c r="J16" s="95">
        <f>VLOOKUP(Network_Proxy[[#This Row],[Emission Factor]],Tableau31[[Name]:[Consumption (kWh/year)]],5,FALSE)</f>
        <v>80.7</v>
      </c>
      <c r="K16" s="123">
        <f>Network_Proxy[[#This Row],[Electric consumption (kWh/year/unit)]]*Network_Proxy[[#This Row],[Energetic mix (kgCO2e/kWh)]]*Network_Proxy[[#This Row],[Quantity ]]*Network_Proxy[[#This Row],[PUE]]</f>
        <v>4371.2280000000001</v>
      </c>
      <c r="L16" s="123">
        <f>IFERROR(Network_Proxy[[#This Row],[Manufacturing (kgCO2e/unit)]]*Network_Proxy[[#This Row],[Quantity ]]/Network_Proxy[[#This Row],[Lifespan]],0)</f>
        <v>4035</v>
      </c>
      <c r="M16" s="123">
        <f>Network_Proxy[[#This Row],[Scope 2 (kgC02e)]]+Network_Proxy[[#This Row],[Scope 3 (kgC02e)]]</f>
        <v>8406.2279999999992</v>
      </c>
      <c r="N16" s="144"/>
    </row>
    <row r="17" spans="1:14" ht="29.1">
      <c r="B17" s="101"/>
      <c r="C17" s="230"/>
      <c r="D17" s="230"/>
      <c r="E17" s="230"/>
      <c r="F17" s="231"/>
      <c r="G17" s="95">
        <f>IFERROR(VLOOKUP(Network_Proxy[[#This Row],[Location]],Mix_Energétique[],2,FALSE),0)</f>
        <v>0</v>
      </c>
      <c r="H17" s="95" t="str">
        <f>'3.2 Emission Factors'!FE_Firewalls</f>
        <v>Network - Firewall - ADEME 2014, Base carbone</v>
      </c>
      <c r="I17" s="95">
        <f>VLOOKUP(Network_Proxy[[#This Row],[Emission Factor]],Tableau31[[Name]:[Consumption (kWh/year)]],6,FALSE)</f>
        <v>158</v>
      </c>
      <c r="J17" s="95">
        <f>VLOOKUP(Network_Proxy[[#This Row],[Emission Factor]],Tableau31[[Name]:[Consumption (kWh/year)]],5,FALSE)</f>
        <v>80.7</v>
      </c>
      <c r="K17" s="123">
        <f>Network_Proxy[[#This Row],[Electric consumption (kWh/year/unit)]]*Network_Proxy[[#This Row],[Energetic mix (kgCO2e/kWh)]]*Network_Proxy[[#This Row],[Quantity ]]*Network_Proxy[[#This Row],[PUE]]</f>
        <v>0</v>
      </c>
      <c r="L17" s="123">
        <f>IFERROR(Network_Proxy[[#This Row],[Manufacturing (kgCO2e/unit)]]*Network_Proxy[[#This Row],[Quantity ]]/Network_Proxy[[#This Row],[Lifespan]],0)</f>
        <v>0</v>
      </c>
      <c r="M17" s="123">
        <f>Network_Proxy[[#This Row],[Scope 2 (kgC02e)]]+Network_Proxy[[#This Row],[Scope 3 (kgC02e)]]</f>
        <v>0</v>
      </c>
      <c r="N17" s="144"/>
    </row>
    <row r="21" spans="1:14" ht="21">
      <c r="A21" s="98" t="s">
        <v>270</v>
      </c>
    </row>
    <row r="22" spans="1:14" ht="15" customHeight="1"/>
    <row r="23" spans="1:14">
      <c r="B23" s="96" t="s">
        <v>267</v>
      </c>
      <c r="C23" s="96" t="s">
        <v>268</v>
      </c>
      <c r="D23" s="96" t="s">
        <v>246</v>
      </c>
      <c r="E23" s="96" t="s">
        <v>247</v>
      </c>
      <c r="F23" s="96" t="s">
        <v>269</v>
      </c>
      <c r="G23" s="58" t="s">
        <v>248</v>
      </c>
      <c r="H23" s="58" t="s">
        <v>249</v>
      </c>
      <c r="I23" s="58" t="s">
        <v>250</v>
      </c>
      <c r="J23" s="58" t="s">
        <v>251</v>
      </c>
      <c r="K23" s="58" t="s">
        <v>252</v>
      </c>
      <c r="L23" s="106" t="s">
        <v>253</v>
      </c>
      <c r="M23" s="106" t="s">
        <v>254</v>
      </c>
    </row>
    <row r="24" spans="1:14" ht="29.1">
      <c r="B24" s="101"/>
      <c r="C24" s="230"/>
      <c r="D24" s="230"/>
      <c r="E24" s="230"/>
      <c r="F24" s="231"/>
      <c r="G24" s="95">
        <f>IFERROR(VLOOKUP(Network_Firewall[[#This Row],[Location]],Mix_Energétique[],2,FALSE),0)</f>
        <v>0</v>
      </c>
      <c r="H24" s="95" t="str">
        <f>'3.2 Emission Factors'!FE_Firewalls</f>
        <v>Network - Firewall - ADEME 2014, Base carbone</v>
      </c>
      <c r="I24" s="95">
        <f>VLOOKUP(Network_Firewall[[#This Row],[Emission Factor]],Tableau31[[Name]:[Consumption (kWh/year)]],6,FALSE)</f>
        <v>158</v>
      </c>
      <c r="J24" s="95">
        <f>VLOOKUP(Network_Firewall[[#This Row],[Emission Factor]],Tableau31[[Name]:[Consumption (kWh/year)]],5,FALSE)</f>
        <v>80.7</v>
      </c>
      <c r="K24" s="123">
        <f>Network_Firewall[[#This Row],[Electric consumption (kWh/year/unit)]]*Network_Firewall[[#This Row],[Energetic mix (kgCO2e/kWh)]]*Network_Firewall[[#This Row],[Quantity ]]*Network_Firewall[[#This Row],[PUE]]</f>
        <v>0</v>
      </c>
      <c r="L24" s="123">
        <f>IFERROR(Network_Firewall[[#This Row],[Manufacturing (kgCO2e/unit)]]*Network_Firewall[[#This Row],[Quantity ]]/Network_Firewall[[#This Row],[Lifespan]],0)</f>
        <v>0</v>
      </c>
      <c r="M24" s="123">
        <f>Network_Firewall[[#This Row],[Scope 2 (kgC02e)]]+Network_Firewall[[#This Row],[Scope 3 (kgC02e)]]</f>
        <v>0</v>
      </c>
    </row>
    <row r="25" spans="1:14" ht="29.1">
      <c r="B25" s="101"/>
      <c r="C25" s="230">
        <v>1.59</v>
      </c>
      <c r="D25" s="230">
        <v>531</v>
      </c>
      <c r="E25" s="230">
        <v>7</v>
      </c>
      <c r="F25" s="231" t="s">
        <v>240</v>
      </c>
      <c r="G25" s="95">
        <f>IFERROR(VLOOKUP(Network_Firewall[[#This Row],[Location]],Mix_Energétique[],2,FALSE),0)</f>
        <v>5.8000000000000003E-2</v>
      </c>
      <c r="H25" s="95" t="str">
        <f>'3.2 Emission Factors'!FE_Firewalls</f>
        <v>Network - Firewall - ADEME 2014, Base carbone</v>
      </c>
      <c r="I25" s="95">
        <f>VLOOKUP(Network_Firewall[[#This Row],[Emission Factor]],Tableau31[[Name]:[Consumption (kWh/year)]],6,FALSE)</f>
        <v>158</v>
      </c>
      <c r="J25" s="95">
        <f>VLOOKUP(Network_Firewall[[#This Row],[Emission Factor]],Tableau31[[Name]:[Consumption (kWh/year)]],5,FALSE)</f>
        <v>80.7</v>
      </c>
      <c r="K25" s="123">
        <f>Network_Firewall[[#This Row],[Electric consumption (kWh/year/unit)]]*Network_Firewall[[#This Row],[Energetic mix (kgCO2e/kWh)]]*Network_Firewall[[#This Row],[Quantity ]]*Network_Firewall[[#This Row],[PUE]]</f>
        <v>7737.0735599999998</v>
      </c>
      <c r="L25" s="123">
        <f>IFERROR(Network_Firewall[[#This Row],[Manufacturing (kgCO2e/unit)]]*Network_Firewall[[#This Row],[Quantity ]]/Network_Firewall[[#This Row],[Lifespan]],0)</f>
        <v>6121.6714285714288</v>
      </c>
      <c r="M25" s="123">
        <f>Network_Firewall[[#This Row],[Scope 2 (kgC02e)]]+Network_Firewall[[#This Row],[Scope 3 (kgC02e)]]</f>
        <v>13858.744988571429</v>
      </c>
    </row>
    <row r="26" spans="1:14" ht="29.1">
      <c r="B26" s="101"/>
      <c r="C26" s="230">
        <v>1.59</v>
      </c>
      <c r="D26" s="230">
        <v>81</v>
      </c>
      <c r="E26" s="230">
        <v>7</v>
      </c>
      <c r="F26" s="231" t="s">
        <v>240</v>
      </c>
      <c r="G26" s="95">
        <f>IFERROR(VLOOKUP(Network_Firewall[[#This Row],[Location]],Mix_Energétique[],2,FALSE),0)</f>
        <v>5.8000000000000003E-2</v>
      </c>
      <c r="H26" s="95" t="str">
        <f>'3.2 Emission Factors'!FE_Firewalls</f>
        <v>Network - Firewall - ADEME 2014, Base carbone</v>
      </c>
      <c r="I26" s="95">
        <f>VLOOKUP(Network_Firewall[[#This Row],[Emission Factor]],Tableau31[[Name]:[Consumption (kWh/year)]],6,FALSE)</f>
        <v>158</v>
      </c>
      <c r="J26" s="95">
        <f>VLOOKUP(Network_Firewall[[#This Row],[Emission Factor]],Tableau31[[Name]:[Consumption (kWh/year)]],5,FALSE)</f>
        <v>80.7</v>
      </c>
      <c r="K26" s="123">
        <f>Network_Firewall[[#This Row],[Electric consumption (kWh/year/unit)]]*Network_Firewall[[#This Row],[Energetic mix (kgCO2e/kWh)]]*Network_Firewall[[#This Row],[Quantity ]]*Network_Firewall[[#This Row],[PUE]]</f>
        <v>1180.2315599999999</v>
      </c>
      <c r="L26" s="123">
        <f>IFERROR(Network_Firewall[[#This Row],[Manufacturing (kgCO2e/unit)]]*Network_Firewall[[#This Row],[Quantity ]]/Network_Firewall[[#This Row],[Lifespan]],0)</f>
        <v>933.81428571428569</v>
      </c>
      <c r="M26" s="123">
        <f>Network_Firewall[[#This Row],[Scope 2 (kgC02e)]]+Network_Firewall[[#This Row],[Scope 3 (kgC02e)]]</f>
        <v>2114.0458457142859</v>
      </c>
    </row>
    <row r="27" spans="1:14" ht="15" customHeight="1"/>
    <row r="28" spans="1:14" ht="15" customHeight="1"/>
    <row r="29" spans="1:14" ht="15" customHeight="1"/>
    <row r="30" spans="1:14" ht="21.95" customHeight="1">
      <c r="A30" s="98" t="s">
        <v>271</v>
      </c>
    </row>
    <row r="31" spans="1:14" ht="15" customHeight="1"/>
    <row r="32" spans="1:14">
      <c r="B32" s="96" t="s">
        <v>267</v>
      </c>
      <c r="C32" s="96" t="s">
        <v>268</v>
      </c>
      <c r="D32" s="96" t="s">
        <v>246</v>
      </c>
      <c r="E32" s="96" t="s">
        <v>247</v>
      </c>
      <c r="F32" s="96" t="s">
        <v>269</v>
      </c>
      <c r="G32" s="58" t="s">
        <v>248</v>
      </c>
      <c r="H32" s="58" t="s">
        <v>249</v>
      </c>
      <c r="I32" s="58" t="s">
        <v>250</v>
      </c>
      <c r="J32" s="58" t="s">
        <v>251</v>
      </c>
      <c r="K32" s="58" t="s">
        <v>252</v>
      </c>
      <c r="L32" s="106" t="s">
        <v>253</v>
      </c>
      <c r="M32" s="106" t="s">
        <v>254</v>
      </c>
    </row>
    <row r="33" spans="2:13" ht="29.1">
      <c r="B33" s="101"/>
      <c r="C33" s="230"/>
      <c r="D33" s="230"/>
      <c r="E33" s="230"/>
      <c r="F33" s="231"/>
      <c r="G33" s="95">
        <f>IFERROR(VLOOKUP(Network_IPS_IDS[[#This Row],[Location]],Mix_Energétique[],2,FALSE),0)</f>
        <v>0</v>
      </c>
      <c r="H33" s="95" t="str">
        <f>'3.2 Emission Factors'!FE_Firewalls</f>
        <v>Network - Firewall - ADEME 2014, Base carbone</v>
      </c>
      <c r="I33" s="95">
        <f>VLOOKUP(Network_IPS_IDS[[#This Row],[Emission Factor]],Tableau31[[Name]:[Consumption (kWh/year)]],6,FALSE)</f>
        <v>158</v>
      </c>
      <c r="J33" s="95">
        <f>VLOOKUP(Network_IPS_IDS[[#This Row],[Emission Factor]],Tableau31[[Name]:[Consumption (kWh/year)]],5,FALSE)</f>
        <v>80.7</v>
      </c>
      <c r="K33" s="123">
        <f>Network_IPS_IDS[[#This Row],[Electric consumption (kWh/year/unit)]]*Network_IPS_IDS[[#This Row],[Energetic mix (kgCO2e/kWh)]]*Network_IPS_IDS[[#This Row],[Quantity ]]*Network_IPS_IDS[[#This Row],[PUE]]</f>
        <v>0</v>
      </c>
      <c r="L33" s="123">
        <f>IFERROR(Network_IPS_IDS[[#This Row],[Manufacturing (kgCO2e/unit)]]*Network_IPS_IDS[[#This Row],[Quantity ]]/Network_IPS_IDS[[#This Row],[Lifespan]],0)</f>
        <v>0</v>
      </c>
      <c r="M33" s="123">
        <f>Network_IPS_IDS[[#This Row],[Scope 2 (kgC02e)]]+Network_IPS_IDS[[#This Row],[Scope 3 (kgC02e)]]</f>
        <v>0</v>
      </c>
    </row>
    <row r="34" spans="2:13" ht="29.1">
      <c r="B34" s="101"/>
      <c r="C34" s="230">
        <v>1.59</v>
      </c>
      <c r="D34" s="230">
        <v>531</v>
      </c>
      <c r="E34" s="230">
        <v>7</v>
      </c>
      <c r="F34" s="231" t="s">
        <v>240</v>
      </c>
      <c r="G34" s="95">
        <f>IFERROR(VLOOKUP(Network_IPS_IDS[[#This Row],[Location]],Mix_Energétique[],2,FALSE),0)</f>
        <v>5.8000000000000003E-2</v>
      </c>
      <c r="H34" s="95" t="str">
        <f>'3.2 Emission Factors'!FE_Firewalls</f>
        <v>Network - Firewall - ADEME 2014, Base carbone</v>
      </c>
      <c r="I34" s="95">
        <f>VLOOKUP(Network_IPS_IDS[[#This Row],[Emission Factor]],Tableau31[[Name]:[Consumption (kWh/year)]],6,FALSE)</f>
        <v>158</v>
      </c>
      <c r="J34" s="95">
        <f>VLOOKUP(Network_IPS_IDS[[#This Row],[Emission Factor]],Tableau31[[Name]:[Consumption (kWh/year)]],5,FALSE)</f>
        <v>80.7</v>
      </c>
      <c r="K34" s="123">
        <f>Network_IPS_IDS[[#This Row],[Electric consumption (kWh/year/unit)]]*Network_IPS_IDS[[#This Row],[Energetic mix (kgCO2e/kWh)]]*Network_IPS_IDS[[#This Row],[Quantity ]]*Network_IPS_IDS[[#This Row],[PUE]]</f>
        <v>7737.0735599999998</v>
      </c>
      <c r="L34" s="123">
        <f>IFERROR(Network_IPS_IDS[[#This Row],[Manufacturing (kgCO2e/unit)]]*Network_IPS_IDS[[#This Row],[Quantity ]]/Network_IPS_IDS[[#This Row],[Lifespan]],0)</f>
        <v>6121.6714285714288</v>
      </c>
      <c r="M34" s="123">
        <f>Network_IPS_IDS[[#This Row],[Scope 2 (kgC02e)]]+Network_IPS_IDS[[#This Row],[Scope 3 (kgC02e)]]</f>
        <v>13858.744988571429</v>
      </c>
    </row>
    <row r="35" spans="2:13" ht="29.1">
      <c r="B35" s="101"/>
      <c r="C35" s="230">
        <v>1.59</v>
      </c>
      <c r="D35" s="230">
        <v>81</v>
      </c>
      <c r="E35" s="230">
        <v>7</v>
      </c>
      <c r="F35" s="231" t="s">
        <v>240</v>
      </c>
      <c r="G35" s="95">
        <f>IFERROR(VLOOKUP(Network_IPS_IDS[[#This Row],[Location]],Mix_Energétique[],2,FALSE),0)</f>
        <v>5.8000000000000003E-2</v>
      </c>
      <c r="H35" s="95" t="str">
        <f>'3.2 Emission Factors'!FE_Firewalls</f>
        <v>Network - Firewall - ADEME 2014, Base carbone</v>
      </c>
      <c r="I35" s="95">
        <f>VLOOKUP(Network_IPS_IDS[[#This Row],[Emission Factor]],Tableau31[[Name]:[Consumption (kWh/year)]],6,FALSE)</f>
        <v>158</v>
      </c>
      <c r="J35" s="95">
        <f>VLOOKUP(Network_IPS_IDS[[#This Row],[Emission Factor]],Tableau31[[Name]:[Consumption (kWh/year)]],5,FALSE)</f>
        <v>80.7</v>
      </c>
      <c r="K35" s="123">
        <f>Network_IPS_IDS[[#This Row],[Electric consumption (kWh/year/unit)]]*Network_IPS_IDS[[#This Row],[Energetic mix (kgCO2e/kWh)]]*Network_IPS_IDS[[#This Row],[Quantity ]]*Network_IPS_IDS[[#This Row],[PUE]]</f>
        <v>1180.2315599999999</v>
      </c>
      <c r="L35" s="123">
        <f>IFERROR(Network_IPS_IDS[[#This Row],[Manufacturing (kgCO2e/unit)]]*Network_IPS_IDS[[#This Row],[Quantity ]]/Network_IPS_IDS[[#This Row],[Lifespan]],0)</f>
        <v>933.81428571428569</v>
      </c>
      <c r="M35" s="123">
        <f>Network_IPS_IDS[[#This Row],[Scope 2 (kgC02e)]]+Network_IPS_IDS[[#This Row],[Scope 3 (kgC02e)]]</f>
        <v>2114.0458457142859</v>
      </c>
    </row>
    <row r="36" spans="2:13" ht="15" customHeight="1"/>
  </sheetData>
  <conditionalFormatting sqref="G15:G17">
    <cfRule type="cellIs" dxfId="611" priority="6" operator="equal">
      <formula>0</formula>
    </cfRule>
  </conditionalFormatting>
  <conditionalFormatting sqref="G24:G26">
    <cfRule type="cellIs" dxfId="610" priority="4" operator="equal">
      <formula>0</formula>
    </cfRule>
  </conditionalFormatting>
  <conditionalFormatting sqref="G33:G35">
    <cfRule type="cellIs" dxfId="609" priority="2" operator="equal">
      <formula>0</formula>
    </cfRule>
  </conditionalFormatting>
  <conditionalFormatting sqref="K15:M17">
    <cfRule type="cellIs" dxfId="608" priority="5" operator="equal">
      <formula>0</formula>
    </cfRule>
  </conditionalFormatting>
  <conditionalFormatting sqref="K24:M26">
    <cfRule type="cellIs" dxfId="607" priority="3" operator="equal">
      <formula>0</formula>
    </cfRule>
  </conditionalFormatting>
  <conditionalFormatting sqref="K33:M35">
    <cfRule type="cellIs" dxfId="606" priority="1" operator="equal">
      <formula>0</formula>
    </cfRule>
  </conditionalFormatting>
  <pageMargins left="0.7" right="0.7" top="0.75" bottom="0.75" header="0.3" footer="0.3"/>
  <pageSetup paperSize="9"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A63F-6C8F-4229-8074-6B14AD09B93F}">
  <sheetPr>
    <tabColor theme="9" tint="0.79998168889431442"/>
  </sheetPr>
  <dimension ref="A2:T1737"/>
  <sheetViews>
    <sheetView showGridLines="0" topLeftCell="D1" zoomScale="40" zoomScaleNormal="40" workbookViewId="0">
      <selection activeCell="M22" sqref="M22"/>
    </sheetView>
  </sheetViews>
  <sheetFormatPr defaultColWidth="8.85546875" defaultRowHeight="15" customHeight="1"/>
  <cols>
    <col min="1" max="1" width="67.5703125" customWidth="1"/>
    <col min="2" max="2" width="27.85546875" bestFit="1" customWidth="1"/>
    <col min="3" max="3" width="26.85546875" customWidth="1"/>
    <col min="4" max="4" width="26.140625" customWidth="1"/>
    <col min="5" max="5" width="26.5703125" customWidth="1"/>
    <col min="6" max="6" width="22.5703125" customWidth="1"/>
    <col min="7" max="7" width="32.5703125" customWidth="1"/>
    <col min="8" max="8" width="33.140625" customWidth="1"/>
    <col min="9" max="9" width="29" customWidth="1"/>
    <col min="10" max="10" width="24.5703125" customWidth="1"/>
    <col min="11" max="11" width="37.85546875" customWidth="1"/>
    <col min="12" max="12" width="39.42578125" customWidth="1"/>
    <col min="13" max="13" width="32" customWidth="1"/>
    <col min="14" max="14" width="36" customWidth="1"/>
    <col min="15" max="15" width="44" customWidth="1"/>
    <col min="16" max="16" width="42.140625" customWidth="1"/>
    <col min="17" max="17" width="44.85546875" customWidth="1"/>
    <col min="18" max="18" width="40.5703125" customWidth="1"/>
    <col min="19" max="19" width="27.42578125" bestFit="1" customWidth="1"/>
    <col min="20" max="20" width="32.42578125" customWidth="1"/>
    <col min="21" max="21" width="36.5703125" bestFit="1" customWidth="1"/>
    <col min="22" max="22" width="23" customWidth="1"/>
  </cols>
  <sheetData>
    <row r="2" spans="1:20" ht="15" customHeight="1">
      <c r="A2" s="196" t="s">
        <v>216</v>
      </c>
    </row>
    <row r="3" spans="1:20" ht="15" customHeight="1">
      <c r="B3" s="160" t="s">
        <v>217</v>
      </c>
    </row>
    <row r="4" spans="1:20" ht="15" customHeight="1">
      <c r="B4" s="221" t="s">
        <v>228</v>
      </c>
    </row>
    <row r="5" spans="1:20" ht="15" customHeight="1">
      <c r="B5" s="224" t="s">
        <v>219</v>
      </c>
    </row>
    <row r="6" spans="1:20" ht="15" customHeight="1">
      <c r="B6" s="222" t="s">
        <v>220</v>
      </c>
    </row>
    <row r="7" spans="1:20" ht="15" customHeight="1">
      <c r="B7" s="223" t="s">
        <v>229</v>
      </c>
    </row>
    <row r="8" spans="1:20" ht="15" customHeight="1">
      <c r="B8" s="164" t="s">
        <v>221</v>
      </c>
    </row>
    <row r="12" spans="1:20" ht="23.1" customHeight="1">
      <c r="A12" s="138" t="s">
        <v>272</v>
      </c>
    </row>
    <row r="13" spans="1:20" ht="21.6" customHeight="1"/>
    <row r="14" spans="1:20" ht="15" customHeight="1">
      <c r="B14" s="55" t="s">
        <v>273</v>
      </c>
      <c r="C14" s="55" t="s">
        <v>274</v>
      </c>
      <c r="D14" s="202" t="s">
        <v>275</v>
      </c>
      <c r="E14" s="55" t="s">
        <v>276</v>
      </c>
      <c r="F14" s="55" t="s">
        <v>277</v>
      </c>
      <c r="G14" s="56" t="s">
        <v>278</v>
      </c>
      <c r="H14" s="56" t="s">
        <v>268</v>
      </c>
      <c r="I14" s="56" t="s">
        <v>279</v>
      </c>
      <c r="J14" s="56" t="s">
        <v>280</v>
      </c>
      <c r="K14" s="56" t="s">
        <v>281</v>
      </c>
      <c r="L14" s="56" t="s">
        <v>282</v>
      </c>
      <c r="M14" s="56" t="s">
        <v>283</v>
      </c>
      <c r="N14" s="56" t="s">
        <v>190</v>
      </c>
      <c r="O14" s="56" t="s">
        <v>284</v>
      </c>
      <c r="P14" s="56" t="s">
        <v>285</v>
      </c>
      <c r="Q14" s="56" t="s">
        <v>286</v>
      </c>
      <c r="R14" s="56" t="s">
        <v>287</v>
      </c>
      <c r="S14" s="57" t="s">
        <v>288</v>
      </c>
    </row>
    <row r="15" spans="1:20" ht="15" customHeight="1">
      <c r="B15" s="185" t="s">
        <v>289</v>
      </c>
      <c r="C15" s="185"/>
      <c r="D15" s="185"/>
      <c r="E15" s="237" t="s">
        <v>290</v>
      </c>
      <c r="F15" s="237">
        <v>5</v>
      </c>
      <c r="G15" s="237" t="s">
        <v>240</v>
      </c>
      <c r="H15" s="237">
        <v>1.59</v>
      </c>
      <c r="I15" s="237">
        <v>8</v>
      </c>
      <c r="J15" s="237">
        <v>16</v>
      </c>
      <c r="K15" s="237">
        <v>2048</v>
      </c>
      <c r="L15" s="238">
        <v>16</v>
      </c>
      <c r="M15" s="239">
        <v>32000</v>
      </c>
      <c r="N15" s="142"/>
      <c r="O15" s="72">
        <f>IFERROR(VLOOKUP(Servers_Backup[[#This Row],[Server location ]],Mix_Energétique[],2,FALSE),0)</f>
        <v>5.8000000000000003E-2</v>
      </c>
      <c r="P15" s="70">
        <f>Servers_Backup[[#This Row],[Physical CPUs (unit)]]*'3.2 Emission Factors'!$M$53*Servers_Backup[[#This Row],[PUE]]</f>
        <v>22486.008960000003</v>
      </c>
      <c r="Q15" s="69">
        <f>Servers_Backup[[#This Row],[Energetic mix (kgCO2e / kWh)]]*Servers_Backup[[#This Row],[Electric consumption (kWh)]]</f>
        <v>1304.1885196800001</v>
      </c>
      <c r="R15"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3777.2088888888889</v>
      </c>
      <c r="S15" s="70">
        <f>Servers_Backup[[#This Row],[Scope 2 (kgCO2e)]]+Servers_Backup[[#This Row],[Scope 3 (kgCO2e)]]</f>
        <v>5081.3974085688887</v>
      </c>
      <c r="T15" s="143"/>
    </row>
    <row r="16" spans="1:20" ht="15" customHeight="1">
      <c r="B16" s="185" t="s">
        <v>291</v>
      </c>
      <c r="C16" s="185"/>
      <c r="D16" s="185"/>
      <c r="E16" s="237" t="s">
        <v>195</v>
      </c>
      <c r="F16" s="237">
        <v>5</v>
      </c>
      <c r="G16" s="237" t="s">
        <v>292</v>
      </c>
      <c r="H16" s="237">
        <v>2.09</v>
      </c>
      <c r="I16" s="237">
        <v>6</v>
      </c>
      <c r="J16" s="237">
        <v>6</v>
      </c>
      <c r="K16" s="237">
        <v>12000</v>
      </c>
      <c r="L16" s="238">
        <v>24</v>
      </c>
      <c r="M16" s="239">
        <v>18000</v>
      </c>
      <c r="N16" s="142"/>
      <c r="O16" s="72">
        <f>IFERROR(VLOOKUP(Servers_Backup[[#This Row],[Server location ]],Mix_Energétique[],2,FALSE),0)</f>
        <v>0.46100000000000002</v>
      </c>
      <c r="P16" s="70">
        <f>Servers_Backup[[#This Row],[Physical CPUs (unit)]]*'3.2 Emission Factors'!$M$53*Servers_Backup[[#This Row],[PUE]]</f>
        <v>11083.905359999999</v>
      </c>
      <c r="Q16" s="69">
        <f>Servers_Backup[[#This Row],[Energetic mix (kgCO2e / kWh)]]*Servers_Backup[[#This Row],[Electric consumption (kWh)]]</f>
        <v>5109.6803709599999</v>
      </c>
      <c r="R16"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8945.9466666666667</v>
      </c>
      <c r="S16" s="70">
        <f>Servers_Backup[[#This Row],[Scope 2 (kgCO2e)]]+Servers_Backup[[#This Row],[Scope 3 (kgCO2e)]]</f>
        <v>14055.627037626666</v>
      </c>
    </row>
    <row r="17" spans="2:19" ht="15" customHeight="1">
      <c r="B17" s="185"/>
      <c r="C17" s="185"/>
      <c r="D17" s="185"/>
      <c r="E17" s="237" t="s">
        <v>195</v>
      </c>
      <c r="F17" s="237">
        <v>5</v>
      </c>
      <c r="G17" s="237" t="s">
        <v>240</v>
      </c>
      <c r="H17" s="237"/>
      <c r="I17" s="237"/>
      <c r="J17" s="237"/>
      <c r="K17" s="237"/>
      <c r="L17" s="238"/>
      <c r="M17" s="239"/>
      <c r="N17" s="142"/>
      <c r="O17" s="72">
        <f>IFERROR(VLOOKUP(Servers_Backup[[#This Row],[Server location ]],Mix_Energétique[],2,FALSE),0)</f>
        <v>5.8000000000000003E-2</v>
      </c>
      <c r="P17" s="70">
        <f>Servers_Backup[[#This Row],[Physical CPUs (unit)]]*'3.2 Emission Factors'!$M$53*Servers_Backup[[#This Row],[PUE]]</f>
        <v>0</v>
      </c>
      <c r="Q17" s="69">
        <f>Servers_Backup[[#This Row],[Energetic mix (kgCO2e / kWh)]]*Servers_Backup[[#This Row],[Electric consumption (kWh)]]</f>
        <v>0</v>
      </c>
      <c r="R17"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17" s="70">
        <f>Servers_Backup[[#This Row],[Scope 2 (kgCO2e)]]+Servers_Backup[[#This Row],[Scope 3 (kgCO2e)]]</f>
        <v>0</v>
      </c>
    </row>
    <row r="18" spans="2:19" ht="15" customHeight="1">
      <c r="B18" s="185"/>
      <c r="C18" s="185"/>
      <c r="D18" s="185"/>
      <c r="E18" s="237" t="s">
        <v>195</v>
      </c>
      <c r="F18" s="237">
        <v>5</v>
      </c>
      <c r="G18" s="237" t="s">
        <v>240</v>
      </c>
      <c r="H18" s="237"/>
      <c r="I18" s="237"/>
      <c r="J18" s="237"/>
      <c r="K18" s="237"/>
      <c r="L18" s="239"/>
      <c r="M18" s="239"/>
      <c r="N18" s="142"/>
      <c r="O18" s="72">
        <f>IFERROR(VLOOKUP(Servers_Backup[[#This Row],[Server location ]],Mix_Energétique[],2,FALSE),0)</f>
        <v>5.8000000000000003E-2</v>
      </c>
      <c r="P18" s="70">
        <f>Servers_Backup[[#This Row],[Physical CPUs (unit)]]*'3.2 Emission Factors'!$M$53*Servers_Backup[[#This Row],[PUE]]</f>
        <v>0</v>
      </c>
      <c r="Q18" s="69">
        <f>Servers_Backup[[#This Row],[Energetic mix (kgCO2e / kWh)]]*Servers_Backup[[#This Row],[Electric consumption (kWh)]]</f>
        <v>0</v>
      </c>
      <c r="R18"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18" s="70">
        <f>Servers_Backup[[#This Row],[Scope 2 (kgCO2e)]]+Servers_Backup[[#This Row],[Scope 3 (kgCO2e)]]</f>
        <v>0</v>
      </c>
    </row>
    <row r="19" spans="2:19" ht="15" customHeight="1">
      <c r="B19" s="185"/>
      <c r="C19" s="185"/>
      <c r="D19" s="185"/>
      <c r="E19" s="237" t="s">
        <v>195</v>
      </c>
      <c r="F19" s="237"/>
      <c r="G19" s="237"/>
      <c r="H19" s="237"/>
      <c r="I19" s="237"/>
      <c r="J19" s="237"/>
      <c r="K19" s="237"/>
      <c r="L19" s="239"/>
      <c r="M19" s="239"/>
      <c r="N19" s="142"/>
      <c r="O19" s="72">
        <f>IFERROR(VLOOKUP(Servers_Backup[[#This Row],[Server location ]],Mix_Energétique[],2,FALSE),0)</f>
        <v>0</v>
      </c>
      <c r="P19" s="70">
        <f>Servers_Backup[[#This Row],[Physical CPUs (unit)]]*'3.2 Emission Factors'!$M$53*Servers_Backup[[#This Row],[PUE]]</f>
        <v>0</v>
      </c>
      <c r="Q19" s="69">
        <f>Servers_Backup[[#This Row],[Energetic mix (kgCO2e / kWh)]]*Servers_Backup[[#This Row],[Electric consumption (kWh)]]</f>
        <v>0</v>
      </c>
      <c r="R19"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19" s="70">
        <f>Servers_Backup[[#This Row],[Scope 2 (kgCO2e)]]+Servers_Backup[[#This Row],[Scope 3 (kgCO2e)]]</f>
        <v>0</v>
      </c>
    </row>
    <row r="20" spans="2:19" ht="15" customHeight="1">
      <c r="B20" s="185"/>
      <c r="C20" s="185"/>
      <c r="D20" s="185"/>
      <c r="E20" s="237" t="s">
        <v>290</v>
      </c>
      <c r="F20" s="237"/>
      <c r="G20" s="237"/>
      <c r="H20" s="237"/>
      <c r="I20" s="237"/>
      <c r="J20" s="237"/>
      <c r="K20" s="237"/>
      <c r="L20" s="239"/>
      <c r="M20" s="239"/>
      <c r="N20" s="142"/>
      <c r="O20" s="72">
        <f>IFERROR(VLOOKUP(Servers_Backup[[#This Row],[Server location ]],Mix_Energétique[],2,FALSE),0)</f>
        <v>0</v>
      </c>
      <c r="P20" s="70">
        <f>Servers_Backup[[#This Row],[Physical CPUs (unit)]]*'3.2 Emission Factors'!$M$53*Servers_Backup[[#This Row],[PUE]]</f>
        <v>0</v>
      </c>
      <c r="Q20" s="69">
        <f>Servers_Backup[[#This Row],[Energetic mix (kgCO2e / kWh)]]*Servers_Backup[[#This Row],[Electric consumption (kWh)]]</f>
        <v>0</v>
      </c>
      <c r="R20"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20" s="70">
        <f>Servers_Backup[[#This Row],[Scope 2 (kgCO2e)]]+Servers_Backup[[#This Row],[Scope 3 (kgCO2e)]]</f>
        <v>0</v>
      </c>
    </row>
    <row r="21" spans="2:19" ht="15" customHeight="1">
      <c r="B21" s="185"/>
      <c r="C21" s="185"/>
      <c r="D21" s="185"/>
      <c r="E21" s="237" t="s">
        <v>290</v>
      </c>
      <c r="F21" s="237"/>
      <c r="G21" s="237"/>
      <c r="H21" s="237"/>
      <c r="I21" s="237"/>
      <c r="J21" s="237"/>
      <c r="K21" s="237"/>
      <c r="L21" s="239"/>
      <c r="M21" s="239"/>
      <c r="N21" s="142"/>
      <c r="O21" s="72">
        <f>IFERROR(VLOOKUP(Servers_Backup[[#This Row],[Server location ]],Mix_Energétique[],2,FALSE),0)</f>
        <v>0</v>
      </c>
      <c r="P21" s="71">
        <f>Servers_Backup[[#This Row],[Physical CPUs (unit)]]*'3.2 Emission Factors'!$M$53*Servers_Backup[[#This Row],[PUE]]</f>
        <v>0</v>
      </c>
      <c r="Q21" s="69">
        <f>Servers_Backup[[#This Row],[Energetic mix (kgCO2e / kWh)]]*Servers_Backup[[#This Row],[Electric consumption (kWh)]]</f>
        <v>0</v>
      </c>
      <c r="R21"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21" s="71">
        <f>Servers_Backup[[#This Row],[Scope 2 (kgCO2e)]]+Servers_Backup[[#This Row],[Scope 3 (kgCO2e)]]</f>
        <v>0</v>
      </c>
    </row>
    <row r="22" spans="2:19" ht="15" customHeight="1">
      <c r="B22" s="185"/>
      <c r="C22" s="185"/>
      <c r="D22" s="185"/>
      <c r="E22" s="237" t="s">
        <v>195</v>
      </c>
      <c r="F22" s="237"/>
      <c r="G22" s="237"/>
      <c r="H22" s="237"/>
      <c r="I22" s="237"/>
      <c r="J22" s="237"/>
      <c r="K22" s="237"/>
      <c r="L22" s="239"/>
      <c r="M22" s="239"/>
      <c r="N22" s="142"/>
      <c r="O22" s="72">
        <f>IFERROR(VLOOKUP(Servers_Backup[[#This Row],[Server location ]],Mix_Energétique[],2,FALSE),0)</f>
        <v>0</v>
      </c>
      <c r="P22" s="70">
        <f>Servers_Backup[[#This Row],[Physical CPUs (unit)]]*'3.2 Emission Factors'!$M$53*Servers_Backup[[#This Row],[PUE]]</f>
        <v>0</v>
      </c>
      <c r="Q22" s="69">
        <f>Servers_Backup[[#This Row],[Energetic mix (kgCO2e / kWh)]]*Servers_Backup[[#This Row],[Electric consumption (kWh)]]</f>
        <v>0</v>
      </c>
      <c r="R22"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22" s="70">
        <f>Servers_Backup[[#This Row],[Scope 2 (kgCO2e)]]+Servers_Backup[[#This Row],[Scope 3 (kgCO2e)]]</f>
        <v>0</v>
      </c>
    </row>
    <row r="23" spans="2:19" ht="15" customHeight="1">
      <c r="B23" s="185"/>
      <c r="C23" s="185"/>
      <c r="D23" s="185"/>
      <c r="E23" s="237" t="s">
        <v>195</v>
      </c>
      <c r="F23" s="237"/>
      <c r="G23" s="237"/>
      <c r="H23" s="237"/>
      <c r="I23" s="237"/>
      <c r="J23" s="237"/>
      <c r="K23" s="237"/>
      <c r="L23" s="239"/>
      <c r="M23" s="239"/>
      <c r="N23" s="142"/>
      <c r="O23" s="72">
        <f>IFERROR(VLOOKUP(Servers_Backup[[#This Row],[Server location ]],Mix_Energétique[],2,FALSE),0)</f>
        <v>0</v>
      </c>
      <c r="P23" s="70">
        <f>Servers_Backup[[#This Row],[Physical CPUs (unit)]]*'3.2 Emission Factors'!$M$53*Servers_Backup[[#This Row],[PUE]]</f>
        <v>0</v>
      </c>
      <c r="Q23" s="69">
        <f>Servers_Backup[[#This Row],[Energetic mix (kgCO2e / kWh)]]*Servers_Backup[[#This Row],[Electric consumption (kWh)]]</f>
        <v>0</v>
      </c>
      <c r="R23"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23" s="70">
        <f>Servers_Backup[[#This Row],[Scope 2 (kgCO2e)]]+Servers_Backup[[#This Row],[Scope 3 (kgCO2e)]]</f>
        <v>0</v>
      </c>
    </row>
    <row r="24" spans="2:19" ht="15" customHeight="1">
      <c r="B24" s="185"/>
      <c r="C24" s="185"/>
      <c r="D24" s="185"/>
      <c r="E24" s="237" t="s">
        <v>195</v>
      </c>
      <c r="F24" s="237"/>
      <c r="G24" s="237"/>
      <c r="H24" s="237"/>
      <c r="I24" s="237"/>
      <c r="J24" s="237"/>
      <c r="K24" s="237"/>
      <c r="L24" s="239"/>
      <c r="M24" s="239"/>
      <c r="N24" s="142"/>
      <c r="O24" s="72">
        <f>IFERROR(VLOOKUP(Servers_Backup[[#This Row],[Server location ]],Mix_Energétique[],2,FALSE),0)</f>
        <v>0</v>
      </c>
      <c r="P24" s="70">
        <f>Servers_Backup[[#This Row],[Physical CPUs (unit)]]*'3.2 Emission Factors'!$M$53*Servers_Backup[[#This Row],[PUE]]</f>
        <v>0</v>
      </c>
      <c r="Q24" s="69">
        <f>Servers_Backup[[#This Row],[Energetic mix (kgCO2e / kWh)]]*Servers_Backup[[#This Row],[Electric consumption (kWh)]]</f>
        <v>0</v>
      </c>
      <c r="R24"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24" s="70">
        <f>Servers_Backup[[#This Row],[Scope 2 (kgCO2e)]]+Servers_Backup[[#This Row],[Scope 3 (kgCO2e)]]</f>
        <v>0</v>
      </c>
    </row>
    <row r="25" spans="2:19" ht="15" customHeight="1">
      <c r="B25" s="185"/>
      <c r="C25" s="185"/>
      <c r="D25" s="185"/>
      <c r="E25" s="237"/>
      <c r="F25" s="237"/>
      <c r="G25" s="237"/>
      <c r="H25" s="237"/>
      <c r="I25" s="237"/>
      <c r="J25" s="237"/>
      <c r="K25" s="237"/>
      <c r="L25" s="239"/>
      <c r="M25" s="239"/>
      <c r="N25" s="142"/>
      <c r="O25" s="72">
        <f>IFERROR(VLOOKUP(Servers_Backup[[#This Row],[Server location ]],Mix_Energétique[],2,FALSE),0)</f>
        <v>0</v>
      </c>
      <c r="P25" s="70">
        <f>Servers_Backup[[#This Row],[Physical CPUs (unit)]]*'3.2 Emission Factors'!$M$53*Servers_Backup[[#This Row],[PUE]]</f>
        <v>0</v>
      </c>
      <c r="Q25" s="69">
        <f>Servers_Backup[[#This Row],[Energetic mix (kgCO2e / kWh)]]*Servers_Backup[[#This Row],[Electric consumption (kWh)]]</f>
        <v>0</v>
      </c>
      <c r="R25" s="69">
        <f>IFERROR((Servers_Backup[[#This Row],[Physical servers (unit)]]*'3.2 Emission Factors'!$G$68*'3.3 Assumptions'!$D$14+Servers_Backup[[#This Row],[Physical servers (unit)]]*'3.2 Emission Factors'!$F$47+Servers_Backup[[#This Row],[Physical CPUs (unit)]]*'3.2 Emission Factors'!$J$47+Servers_Backup[[#This Row],[RAM (GB)]]*'3.2 Emission Factors'!$H$47+Servers_Backup[[#This Row],[HDD (unit)]]*'3.2 Emission Factors'!$N$47+Servers_Backup[[#This Row],[SSD (GB)]]*'3.2 Emission Factors'!$O$47)/Servers_Backup[[#This Row],[Server lifespan]],0)</f>
        <v>0</v>
      </c>
      <c r="S25" s="70">
        <f>Servers_Backup[[#This Row],[Scope 2 (kgCO2e)]]+Servers_Backup[[#This Row],[Scope 3 (kgCO2e)]]</f>
        <v>0</v>
      </c>
    </row>
    <row r="1662" spans="12:12" ht="14.45">
      <c r="L1662">
        <v>214.60473519892986</v>
      </c>
    </row>
    <row r="1663" spans="12:12" ht="14.45">
      <c r="L1663">
        <v>238.80926206394952</v>
      </c>
    </row>
    <row r="1664" spans="12:12" ht="14.45">
      <c r="L1664">
        <v>1040.3382150540961</v>
      </c>
    </row>
    <row r="1665" spans="12:12" ht="14.45">
      <c r="L1665">
        <v>12.175446888544521</v>
      </c>
    </row>
    <row r="1666" spans="12:12" ht="14.45">
      <c r="L1666">
        <v>187.87527536514079</v>
      </c>
    </row>
    <row r="1667" spans="12:12" ht="14.45">
      <c r="L1667">
        <v>22.71769606159372</v>
      </c>
    </row>
    <row r="1668" spans="12:12" ht="14.45">
      <c r="L1668">
        <v>177.6565177308766</v>
      </c>
    </row>
    <row r="1669" spans="12:12" ht="14.45">
      <c r="L1669">
        <v>112.05156946226725</v>
      </c>
    </row>
    <row r="1670" spans="12:12" ht="14.45">
      <c r="L1670">
        <v>29.118443355532335</v>
      </c>
    </row>
    <row r="1671" spans="12:12" ht="14.45">
      <c r="L1671">
        <v>2623.6698285208963</v>
      </c>
    </row>
    <row r="1672" spans="12:12" ht="14.45">
      <c r="L1672">
        <v>12.878143925104157</v>
      </c>
    </row>
    <row r="1673" spans="12:12" ht="14.45">
      <c r="L1673">
        <v>118.33706295590434</v>
      </c>
    </row>
    <row r="1674" spans="12:12" ht="14.45">
      <c r="L1674">
        <v>68.646007030188571</v>
      </c>
    </row>
    <row r="1675" spans="12:12" ht="14.45">
      <c r="L1675">
        <v>7.375068922589664</v>
      </c>
    </row>
    <row r="1676" spans="12:12" ht="14.45">
      <c r="L1676">
        <v>16.13738379045019</v>
      </c>
    </row>
    <row r="1677" spans="12:12" ht="14.45">
      <c r="L1677">
        <v>28.226804705657848</v>
      </c>
    </row>
    <row r="1678" spans="12:12" ht="14.45">
      <c r="L1678">
        <v>230.80125923509181</v>
      </c>
    </row>
    <row r="1679" spans="12:12" ht="14.45">
      <c r="L1679">
        <v>112.47122409572134</v>
      </c>
    </row>
    <row r="1680" spans="12:12" ht="14.45">
      <c r="L1680">
        <v>222.06597554920552</v>
      </c>
    </row>
    <row r="1681" spans="12:12" ht="14.45">
      <c r="L1681">
        <v>47.797947281092384</v>
      </c>
    </row>
    <row r="1682" spans="12:12" ht="14.45">
      <c r="L1682">
        <v>28.90690762868774</v>
      </c>
    </row>
    <row r="1683" spans="12:12" ht="14.45">
      <c r="L1683">
        <v>288.4879209626551</v>
      </c>
    </row>
    <row r="1684" spans="12:12" ht="14.45">
      <c r="L1684">
        <v>423.90612909457838</v>
      </c>
    </row>
    <row r="1685" spans="12:12" ht="14.45">
      <c r="L1685">
        <v>28.723936396234897</v>
      </c>
    </row>
    <row r="1686" spans="12:12" ht="14.45">
      <c r="L1686">
        <v>2244.0700965380238</v>
      </c>
    </row>
    <row r="1687" spans="12:12" ht="14.45">
      <c r="L1687">
        <v>475.54130846624025</v>
      </c>
    </row>
    <row r="1688" spans="12:12" ht="14.45">
      <c r="L1688">
        <v>167.0072217170914</v>
      </c>
    </row>
    <row r="1689" spans="12:12" ht="14.45">
      <c r="L1689">
        <v>45.540678132730605</v>
      </c>
    </row>
    <row r="1690" spans="12:12" ht="14.45">
      <c r="L1690">
        <v>1067.364548410003</v>
      </c>
    </row>
    <row r="1691" spans="12:12" ht="14.45">
      <c r="L1691">
        <v>132.69841269841265</v>
      </c>
    </row>
    <row r="1692" spans="12:12" ht="14.45">
      <c r="L1692">
        <v>78.797582944998993</v>
      </c>
    </row>
    <row r="1693" spans="12:12" ht="14.45">
      <c r="L1693">
        <v>89.220257205690274</v>
      </c>
    </row>
    <row r="1694" spans="12:12" ht="14.45">
      <c r="L1694">
        <v>3.5875793116479038</v>
      </c>
    </row>
    <row r="1695" spans="12:12" ht="14.45">
      <c r="L1695">
        <v>96.585067428823209</v>
      </c>
    </row>
    <row r="1696" spans="12:12" ht="14.45">
      <c r="L1696">
        <v>2895.8201130494576</v>
      </c>
    </row>
    <row r="1697" spans="12:12" ht="14.45">
      <c r="L1697">
        <v>20.69368964924746</v>
      </c>
    </row>
    <row r="1698" spans="12:12" ht="14.45">
      <c r="L1698">
        <v>284.60317460317469</v>
      </c>
    </row>
    <row r="1699" spans="12:12" ht="14.45">
      <c r="L1699">
        <v>3.4920634920634921</v>
      </c>
    </row>
    <row r="1700" spans="12:12" ht="14.45">
      <c r="L1700">
        <v>47.616955610606375</v>
      </c>
    </row>
    <row r="1701" spans="12:12" ht="14.45">
      <c r="L1701">
        <v>60.71331727768974</v>
      </c>
    </row>
    <row r="1702" spans="12:12" ht="14.45">
      <c r="L1702">
        <v>370.15873015873007</v>
      </c>
    </row>
    <row r="1703" spans="12:12" ht="14.45">
      <c r="L1703">
        <v>0</v>
      </c>
    </row>
    <row r="1704" spans="12:12" ht="14.45">
      <c r="L1704">
        <v>6.9841269841269842</v>
      </c>
    </row>
    <row r="1705" spans="12:12" ht="14.45">
      <c r="L1705">
        <v>0</v>
      </c>
    </row>
    <row r="1706" spans="12:12" ht="14.45">
      <c r="L1706">
        <v>4.3650793650793647</v>
      </c>
    </row>
    <row r="1707" spans="12:12" ht="14.45">
      <c r="L1707">
        <v>96.126101641272854</v>
      </c>
    </row>
    <row r="1708" spans="12:12" ht="14.45">
      <c r="L1708">
        <v>17.460317460317459</v>
      </c>
    </row>
    <row r="1709" spans="12:12" ht="14.45">
      <c r="L1709">
        <v>55.873015873015873</v>
      </c>
    </row>
    <row r="1710" spans="12:12" ht="14.45">
      <c r="L1710">
        <v>251.42857142857139</v>
      </c>
    </row>
    <row r="1711" spans="12:12" ht="14.45">
      <c r="L1711">
        <v>6.9841269841269842</v>
      </c>
    </row>
    <row r="1712" spans="12:12" ht="14.45">
      <c r="L1712">
        <v>3.4920634920634921</v>
      </c>
    </row>
    <row r="1713" spans="12:12" ht="14.45">
      <c r="L1713">
        <v>41.904761904761898</v>
      </c>
    </row>
    <row r="1714" spans="12:12" ht="14.45">
      <c r="L1714">
        <v>12.222222222222221</v>
      </c>
    </row>
    <row r="1715" spans="12:12" ht="14.45">
      <c r="L1715">
        <v>670.47619047619025</v>
      </c>
    </row>
    <row r="1716" spans="12:12" ht="14.45">
      <c r="L1716">
        <v>57.619047619047606</v>
      </c>
    </row>
    <row r="1717" spans="12:12" ht="14.45">
      <c r="L1717">
        <v>4.3650793650793647</v>
      </c>
    </row>
    <row r="1718" spans="12:12" ht="14.45">
      <c r="L1718">
        <v>111.74603174603175</v>
      </c>
    </row>
    <row r="1719" spans="12:12" ht="14.45">
      <c r="L1719">
        <v>14.841269841269838</v>
      </c>
    </row>
    <row r="1720" spans="12:12" ht="14.45">
      <c r="L1720">
        <v>20.952380952380949</v>
      </c>
    </row>
    <row r="1721" spans="12:12" ht="14.45">
      <c r="L1721">
        <v>85.555555555555557</v>
      </c>
    </row>
    <row r="1722" spans="12:12" ht="14.45">
      <c r="L1722">
        <v>10.476190476190474</v>
      </c>
    </row>
    <row r="1723" spans="12:12" ht="14.45">
      <c r="L1723">
        <v>34.920634920634924</v>
      </c>
    </row>
    <row r="1724" spans="12:12" ht="14.45">
      <c r="L1724">
        <v>13.968253968253968</v>
      </c>
    </row>
    <row r="1725" spans="12:12" ht="14.45">
      <c r="L1725">
        <v>584.43476007848483</v>
      </c>
    </row>
    <row r="1726" spans="12:12" ht="14.45">
      <c r="L1726">
        <v>11.349206349206348</v>
      </c>
    </row>
    <row r="1727" spans="12:12" ht="14.45">
      <c r="L1727">
        <v>768.25396825396831</v>
      </c>
    </row>
    <row r="1728" spans="12:12" ht="14.45">
      <c r="L1728">
        <v>1.746031746031746</v>
      </c>
    </row>
    <row r="1729" spans="12:12" ht="14.45">
      <c r="L1729">
        <v>474.92063492063471</v>
      </c>
    </row>
    <row r="1730" spans="12:12" ht="14.45">
      <c r="L1730">
        <v>62.857142857142847</v>
      </c>
    </row>
    <row r="1731" spans="12:12" ht="14.45">
      <c r="L1731">
        <v>34.920634920634917</v>
      </c>
    </row>
    <row r="1732" spans="12:12" ht="14.45">
      <c r="L1732">
        <v>20.952380952380949</v>
      </c>
    </row>
    <row r="1733" spans="12:12" ht="14.45">
      <c r="L1733">
        <v>8.7301587301587293</v>
      </c>
    </row>
    <row r="1734" spans="12:12" ht="14.45">
      <c r="L1734">
        <v>3.4920634920634921</v>
      </c>
    </row>
    <row r="1735" spans="12:12" ht="14.45">
      <c r="L1735">
        <v>6.9841269841269842</v>
      </c>
    </row>
    <row r="1736" spans="12:12" ht="14.45">
      <c r="L1736">
        <v>6.9841269841269842</v>
      </c>
    </row>
    <row r="1737" spans="12:12" ht="14.45">
      <c r="L1737">
        <v>6.9841269841269842</v>
      </c>
    </row>
  </sheetData>
  <phoneticPr fontId="13" type="noConversion"/>
  <conditionalFormatting sqref="P15:S25">
    <cfRule type="cellIs" dxfId="557" priority="3" operator="equal">
      <formula>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0090175D-EC05-4AD5-B4C8-4E45ECC71C4E}">
          <x14:formula1>
            <xm:f>'2.3 Mapping Backup Servers'!$B$42:$B$43</xm:f>
          </x14:formula1>
          <xm:sqref>E15:E25</xm:sqref>
        </x14:dataValidation>
        <x14:dataValidation type="list" allowBlank="1" showInputMessage="1" showErrorMessage="1" xr:uid="{B5AA3E66-7F13-4BC7-BC0D-42AC79E09695}">
          <x14:formula1>
            <xm:f>'3.1 Electricity mix'!$B$5:$B$142</xm:f>
          </x14:formula1>
          <xm:sqref>G15:G25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D6B8-7E39-46F1-871A-358A9F1FA343}">
  <sheetPr>
    <tabColor theme="9" tint="0.79998168889431442"/>
  </sheetPr>
  <dimension ref="A2:V1745"/>
  <sheetViews>
    <sheetView showGridLines="0" topLeftCell="A4" zoomScale="40" zoomScaleNormal="40" workbookViewId="0">
      <selection activeCell="E50" sqref="E50"/>
    </sheetView>
  </sheetViews>
  <sheetFormatPr defaultColWidth="8.85546875" defaultRowHeight="15" customHeight="1"/>
  <cols>
    <col min="1" max="1" width="58.7109375" style="3" bestFit="1" customWidth="1"/>
    <col min="2" max="2" width="34.5703125" style="3" customWidth="1"/>
    <col min="3" max="4" width="21.7109375" style="3" bestFit="1" customWidth="1"/>
    <col min="5" max="5" width="20.42578125" style="3" bestFit="1" customWidth="1"/>
    <col min="6" max="6" width="17.140625" style="3" bestFit="1" customWidth="1"/>
    <col min="7" max="7" width="12" style="3" customWidth="1"/>
    <col min="8" max="8" width="8.85546875" style="3" customWidth="1"/>
    <col min="9" max="9" width="23.140625" style="3" bestFit="1" customWidth="1"/>
    <col min="10" max="10" width="13.85546875" style="3" bestFit="1" customWidth="1"/>
    <col min="11" max="11" width="21.140625" style="3" bestFit="1" customWidth="1"/>
    <col min="12" max="12" width="11.140625" style="3" customWidth="1"/>
    <col min="13" max="13" width="12.5703125" style="3" customWidth="1"/>
    <col min="14" max="14" width="16.140625" style="3" customWidth="1"/>
    <col min="15" max="15" width="12.42578125" style="3" customWidth="1"/>
    <col min="16" max="16" width="27.28515625" style="3" customWidth="1"/>
    <col min="17" max="17" width="44.85546875" style="3" customWidth="1"/>
    <col min="18" max="18" width="40.5703125" style="3" customWidth="1"/>
    <col min="19" max="19" width="41" style="3" customWidth="1"/>
    <col min="20" max="20" width="32.42578125" style="3" customWidth="1"/>
    <col min="21" max="21" width="29.140625" style="3" customWidth="1"/>
    <col min="22" max="22" width="23" style="3" customWidth="1"/>
    <col min="23" max="16384" width="8.85546875" style="3"/>
  </cols>
  <sheetData>
    <row r="2" spans="1:22" ht="15" customHeight="1">
      <c r="A2" s="225" t="s">
        <v>216</v>
      </c>
    </row>
    <row r="3" spans="1:22" ht="15.6">
      <c r="B3" s="226" t="s">
        <v>217</v>
      </c>
    </row>
    <row r="4" spans="1:22" ht="29.1">
      <c r="B4" s="227" t="s">
        <v>228</v>
      </c>
    </row>
    <row r="5" spans="1:22" ht="29.1">
      <c r="B5" s="224" t="s">
        <v>219</v>
      </c>
    </row>
    <row r="6" spans="1:22" ht="29.1">
      <c r="B6" s="228" t="s">
        <v>220</v>
      </c>
    </row>
    <row r="7" spans="1:22" ht="29.1">
      <c r="B7" s="229" t="s">
        <v>229</v>
      </c>
    </row>
    <row r="8" spans="1:22" ht="14.45">
      <c r="B8" s="165" t="s">
        <v>221</v>
      </c>
    </row>
    <row r="9" spans="1:22" ht="14.45"/>
    <row r="12" spans="1:22" ht="21">
      <c r="A12" s="207" t="s">
        <v>293</v>
      </c>
    </row>
    <row r="13" spans="1:22" ht="14.45"/>
    <row r="14" spans="1:22" ht="38.1" customHeight="1">
      <c r="B14" s="240" t="s">
        <v>273</v>
      </c>
      <c r="C14" s="240" t="s">
        <v>294</v>
      </c>
      <c r="D14" s="240" t="s">
        <v>295</v>
      </c>
      <c r="E14" s="240" t="s">
        <v>296</v>
      </c>
      <c r="F14" s="240" t="s">
        <v>277</v>
      </c>
      <c r="G14" s="113" t="s">
        <v>278</v>
      </c>
      <c r="H14" s="113" t="s">
        <v>268</v>
      </c>
      <c r="I14" s="113" t="s">
        <v>279</v>
      </c>
      <c r="J14" s="113" t="s">
        <v>297</v>
      </c>
      <c r="K14" s="113" t="s">
        <v>280</v>
      </c>
      <c r="L14" s="113" t="s">
        <v>281</v>
      </c>
      <c r="M14" s="113" t="s">
        <v>282</v>
      </c>
      <c r="N14" s="113" t="s">
        <v>283</v>
      </c>
      <c r="O14" s="113" t="s">
        <v>190</v>
      </c>
      <c r="P14" s="113" t="s">
        <v>284</v>
      </c>
      <c r="Q14" s="113" t="s">
        <v>298</v>
      </c>
      <c r="R14" s="113" t="s">
        <v>299</v>
      </c>
      <c r="S14" s="113" t="s">
        <v>285</v>
      </c>
      <c r="T14" s="113" t="s">
        <v>286</v>
      </c>
      <c r="U14" s="113" t="s">
        <v>287</v>
      </c>
      <c r="V14" s="66" t="s">
        <v>288</v>
      </c>
    </row>
    <row r="15" spans="1:22" ht="15" customHeight="1">
      <c r="B15" s="241" t="s">
        <v>289</v>
      </c>
      <c r="C15" s="242" t="s">
        <v>300</v>
      </c>
      <c r="D15" s="242" t="s">
        <v>301</v>
      </c>
      <c r="E15" s="224"/>
      <c r="F15" s="242">
        <v>5</v>
      </c>
      <c r="G15" s="242" t="s">
        <v>240</v>
      </c>
      <c r="H15" s="242">
        <v>1.59</v>
      </c>
      <c r="I15" s="297">
        <v>8</v>
      </c>
      <c r="J15" s="242"/>
      <c r="K15" s="297">
        <v>16</v>
      </c>
      <c r="L15" s="242">
        <v>8000</v>
      </c>
      <c r="M15" s="298">
        <v>8.6746987949999994</v>
      </c>
      <c r="N15" s="299">
        <v>20000</v>
      </c>
      <c r="O15" s="244"/>
      <c r="P15" s="245">
        <f>IFERROR(VLOOKUP(Software_On_Premise[[#This Row],[Server location ]],Mix_Energétique[],2,FALSE),0)</f>
        <v>5.8000000000000003E-2</v>
      </c>
      <c r="Q15" s="246">
        <f>IF(Software_On_Premise[[#This Row],[Physical servers (unit)]]="",Software_On_Premise[[#This Row],[Calculated Physical CPU (unit)]]/'3.3 Assumptions'!$D$12,Software_On_Premise[[#This Row],[Physical servers (unit)]])</f>
        <v>8</v>
      </c>
      <c r="R15" s="247">
        <f>Software_On_Premise[[#This Row],[vCPU (unit)]]/'3.3 Assumptions'!$D$13+Software_On_Premise[[#This Row],[Physical CPUs (unit)]]</f>
        <v>16</v>
      </c>
      <c r="S15" s="247">
        <f>Software_On_Premise[[#This Row],[Calculated Physical CPU (unit)]]*'3.2 Emission Factors'!$M$53*Software_On_Premise[[#This Row],[PUE]]</f>
        <v>22486.008960000003</v>
      </c>
      <c r="T15" s="246">
        <f>Software_On_Premise[[#This Row],[Energetic mix (kgCO2e / kWh)]]*Software_On_Premise[[#This Row],[Electric consumption (kWh)]]</f>
        <v>1304.1885196800001</v>
      </c>
      <c r="U15"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7182.8455153937884</v>
      </c>
      <c r="V15" s="247">
        <f>Software_On_Premise[[#This Row],[Scope 2 (kgCO2e)]]+Software_On_Premise[[#This Row],[Scope 3 (kgCO2e)]]</f>
        <v>8487.0340350737879</v>
      </c>
    </row>
    <row r="16" spans="1:22" ht="15" customHeight="1">
      <c r="B16" s="241" t="s">
        <v>289</v>
      </c>
      <c r="C16" s="242" t="s">
        <v>300</v>
      </c>
      <c r="D16" s="242" t="s">
        <v>302</v>
      </c>
      <c r="E16" s="297"/>
      <c r="F16" s="242">
        <v>5</v>
      </c>
      <c r="G16" s="242" t="s">
        <v>240</v>
      </c>
      <c r="H16" s="242">
        <v>1.59</v>
      </c>
      <c r="I16" s="297">
        <v>6</v>
      </c>
      <c r="J16" s="242"/>
      <c r="K16" s="297">
        <v>216</v>
      </c>
      <c r="L16" s="242">
        <v>9000</v>
      </c>
      <c r="M16" s="298">
        <v>8.6746987949999994</v>
      </c>
      <c r="N16" s="299">
        <v>36</v>
      </c>
      <c r="O16" s="244"/>
      <c r="P16" s="245">
        <f>IFERROR(VLOOKUP(Software_On_Premise[[#This Row],[Server location ]],Mix_Energétique[],2,FALSE),0)</f>
        <v>5.8000000000000003E-2</v>
      </c>
      <c r="Q16" s="246">
        <f>IF(Software_On_Premise[[#This Row],[Physical servers (unit)]]="",Software_On_Premise[[#This Row],[Calculated Physical CPU (unit)]]/'3.3 Assumptions'!$D$12,Software_On_Premise[[#This Row],[Physical servers (unit)]])</f>
        <v>6</v>
      </c>
      <c r="R16" s="247">
        <f>Software_On_Premise[[#This Row],[vCPU (unit)]]/'3.3 Assumptions'!$D$13+Software_On_Premise[[#This Row],[Physical CPUs (unit)]]</f>
        <v>216</v>
      </c>
      <c r="S16" s="247">
        <f>Software_On_Premise[[#This Row],[Calculated Physical CPU (unit)]]*'3.2 Emission Factors'!$M$53*Software_On_Premise[[#This Row],[PUE]]</f>
        <v>303561.12096000003</v>
      </c>
      <c r="T16" s="246">
        <f>Software_On_Premise[[#This Row],[Energetic mix (kgCO2e / kWh)]]*Software_On_Premise[[#This Row],[Electric consumption (kWh)]]</f>
        <v>17606.545015680003</v>
      </c>
      <c r="U16"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13170.98329317157</v>
      </c>
      <c r="V16" s="247">
        <f>Software_On_Premise[[#This Row],[Scope 2 (kgCO2e)]]+Software_On_Premise[[#This Row],[Scope 3 (kgCO2e)]]</f>
        <v>30777.528308851572</v>
      </c>
    </row>
    <row r="17" spans="1:22" ht="15" customHeight="1">
      <c r="B17" s="241"/>
      <c r="C17" s="242"/>
      <c r="D17" s="242"/>
      <c r="E17" s="297"/>
      <c r="F17" s="242"/>
      <c r="G17" s="242"/>
      <c r="H17" s="242"/>
      <c r="I17" s="297"/>
      <c r="J17" s="242"/>
      <c r="K17" s="297"/>
      <c r="L17" s="242"/>
      <c r="M17" s="298"/>
      <c r="N17" s="299"/>
      <c r="O17" s="244"/>
      <c r="P17" s="245">
        <f>IFERROR(VLOOKUP(Software_On_Premise[[#This Row],[Server location ]],Mix_Energétique[],2,FALSE),0)</f>
        <v>0</v>
      </c>
      <c r="Q17" s="246">
        <f>IF(Software_On_Premise[[#This Row],[Physical servers (unit)]]="",Software_On_Premise[[#This Row],[Calculated Physical CPU (unit)]]/'3.3 Assumptions'!$D$12,Software_On_Premise[[#This Row],[Physical servers (unit)]])</f>
        <v>0</v>
      </c>
      <c r="R17" s="247">
        <f>Software_On_Premise[[#This Row],[vCPU (unit)]]/'3.3 Assumptions'!$D$13+Software_On_Premise[[#This Row],[Physical CPUs (unit)]]</f>
        <v>0</v>
      </c>
      <c r="S17" s="247">
        <f>Software_On_Premise[[#This Row],[Calculated Physical CPU (unit)]]*'3.2 Emission Factors'!$M$53*Software_On_Premise[[#This Row],[PUE]]</f>
        <v>0</v>
      </c>
      <c r="T17" s="246">
        <f>Software_On_Premise[[#This Row],[Energetic mix (kgCO2e / kWh)]]*Software_On_Premise[[#This Row],[Electric consumption (kWh)]]</f>
        <v>0</v>
      </c>
      <c r="U17"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17" s="247">
        <f>Software_On_Premise[[#This Row],[Scope 2 (kgCO2e)]]+Software_On_Premise[[#This Row],[Scope 3 (kgCO2e)]]</f>
        <v>0</v>
      </c>
    </row>
    <row r="18" spans="1:22" ht="15" customHeight="1">
      <c r="B18" s="241"/>
      <c r="C18" s="242"/>
      <c r="D18" s="242"/>
      <c r="E18" s="297"/>
      <c r="F18" s="242"/>
      <c r="G18" s="242"/>
      <c r="H18" s="242"/>
      <c r="I18" s="297"/>
      <c r="J18" s="242"/>
      <c r="K18" s="297"/>
      <c r="L18" s="242"/>
      <c r="M18" s="299"/>
      <c r="N18" s="299"/>
      <c r="O18" s="244"/>
      <c r="P18" s="245">
        <f>IFERROR(VLOOKUP(Software_On_Premise[[#This Row],[Server location ]],Mix_Energétique[],2,FALSE),0)</f>
        <v>0</v>
      </c>
      <c r="Q18" s="247">
        <f>IF(Software_On_Premise[[#This Row],[Physical servers (unit)]]="",Software_On_Premise[[#This Row],[Calculated Physical CPU (unit)]]/'3.3 Assumptions'!$D$12,Software_On_Premise[[#This Row],[Physical servers (unit)]])</f>
        <v>0</v>
      </c>
      <c r="R18" s="247">
        <f>Software_On_Premise[[#This Row],[vCPU (unit)]]/'3.3 Assumptions'!$D$13+Software_On_Premise[[#This Row],[Physical CPUs (unit)]]</f>
        <v>0</v>
      </c>
      <c r="S18" s="247">
        <f>Software_On_Premise[[#This Row],[Calculated Physical CPU (unit)]]*'3.2 Emission Factors'!$M$53*Software_On_Premise[[#This Row],[PUE]]</f>
        <v>0</v>
      </c>
      <c r="T18" s="246">
        <f>Software_On_Premise[[#This Row],[Energetic mix (kgCO2e / kWh)]]*Software_On_Premise[[#This Row],[Electric consumption (kWh)]]</f>
        <v>0</v>
      </c>
      <c r="U18"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18" s="247">
        <f>Software_On_Premise[[#This Row],[Scope 2 (kgCO2e)]]+Software_On_Premise[[#This Row],[Scope 3 (kgCO2e)]]</f>
        <v>0</v>
      </c>
    </row>
    <row r="19" spans="1:22" ht="15" customHeight="1">
      <c r="B19" s="241"/>
      <c r="C19" s="242"/>
      <c r="D19" s="242"/>
      <c r="E19" s="297"/>
      <c r="F19" s="242"/>
      <c r="G19" s="242"/>
      <c r="H19" s="242"/>
      <c r="I19" s="297"/>
      <c r="J19" s="242"/>
      <c r="K19" s="297"/>
      <c r="L19" s="242"/>
      <c r="M19" s="299"/>
      <c r="N19" s="299"/>
      <c r="O19" s="244"/>
      <c r="P19" s="245">
        <f>IFERROR(VLOOKUP(Software_On_Premise[[#This Row],[Server location ]],Mix_Energétique[],2,FALSE),0)</f>
        <v>0</v>
      </c>
      <c r="Q19" s="247">
        <f>IF(Software_On_Premise[[#This Row],[Physical servers (unit)]]="",Software_On_Premise[[#This Row],[Calculated Physical CPU (unit)]]/'3.3 Assumptions'!$D$12,Software_On_Premise[[#This Row],[Physical servers (unit)]])</f>
        <v>0</v>
      </c>
      <c r="R19" s="247">
        <f>Software_On_Premise[[#This Row],[vCPU (unit)]]/'3.3 Assumptions'!$D$13+Software_On_Premise[[#This Row],[Physical CPUs (unit)]]</f>
        <v>0</v>
      </c>
      <c r="S19" s="247">
        <f>Software_On_Premise[[#This Row],[Calculated Physical CPU (unit)]]*'3.2 Emission Factors'!$M$53*Software_On_Premise[[#This Row],[PUE]]</f>
        <v>0</v>
      </c>
      <c r="T19" s="246">
        <f>Software_On_Premise[[#This Row],[Energetic mix (kgCO2e / kWh)]]*Software_On_Premise[[#This Row],[Electric consumption (kWh)]]</f>
        <v>0</v>
      </c>
      <c r="U19"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19" s="247">
        <f>Software_On_Premise[[#This Row],[Scope 2 (kgCO2e)]]+Software_On_Premise[[#This Row],[Scope 3 (kgCO2e)]]</f>
        <v>0</v>
      </c>
    </row>
    <row r="20" spans="1:22" ht="15" customHeight="1">
      <c r="B20" s="241"/>
      <c r="C20" s="242"/>
      <c r="D20" s="242"/>
      <c r="E20" s="297"/>
      <c r="F20" s="242"/>
      <c r="G20" s="242"/>
      <c r="H20" s="242"/>
      <c r="I20" s="297"/>
      <c r="J20" s="242"/>
      <c r="K20" s="297"/>
      <c r="L20" s="242"/>
      <c r="M20" s="299"/>
      <c r="N20" s="299"/>
      <c r="O20" s="244"/>
      <c r="P20" s="245">
        <f>IFERROR(VLOOKUP(Software_On_Premise[[#This Row],[Server location ]],Mix_Energétique[],2,FALSE),0)</f>
        <v>0</v>
      </c>
      <c r="Q20" s="247">
        <f>IF(Software_On_Premise[[#This Row],[Physical servers (unit)]]="",Software_On_Premise[[#This Row],[Calculated Physical CPU (unit)]]/'3.3 Assumptions'!$D$12,Software_On_Premise[[#This Row],[Physical servers (unit)]])</f>
        <v>0</v>
      </c>
      <c r="R20" s="247">
        <f>Software_On_Premise[[#This Row],[vCPU (unit)]]/'3.3 Assumptions'!$D$13+Software_On_Premise[[#This Row],[Physical CPUs (unit)]]</f>
        <v>0</v>
      </c>
      <c r="S20" s="247">
        <f>Software_On_Premise[[#This Row],[Calculated Physical CPU (unit)]]*'3.2 Emission Factors'!$M$53*Software_On_Premise[[#This Row],[PUE]]</f>
        <v>0</v>
      </c>
      <c r="T20" s="246">
        <f>Software_On_Premise[[#This Row],[Energetic mix (kgCO2e / kWh)]]*Software_On_Premise[[#This Row],[Electric consumption (kWh)]]</f>
        <v>0</v>
      </c>
      <c r="U20"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20" s="247">
        <f>Software_On_Premise[[#This Row],[Scope 2 (kgCO2e)]]+Software_On_Premise[[#This Row],[Scope 3 (kgCO2e)]]</f>
        <v>0</v>
      </c>
    </row>
    <row r="21" spans="1:22" ht="15" customHeight="1">
      <c r="B21" s="241"/>
      <c r="C21" s="242"/>
      <c r="D21" s="242"/>
      <c r="E21" s="297"/>
      <c r="F21" s="242"/>
      <c r="G21" s="242"/>
      <c r="H21" s="242"/>
      <c r="I21" s="297"/>
      <c r="J21" s="242"/>
      <c r="K21" s="297"/>
      <c r="L21" s="242"/>
      <c r="M21" s="299"/>
      <c r="N21" s="299"/>
      <c r="O21" s="244"/>
      <c r="P21" s="245">
        <f>IFERROR(VLOOKUP(Software_On_Premise[[#This Row],[Server location ]],Mix_Energétique[],2,FALSE),0)</f>
        <v>0</v>
      </c>
      <c r="Q21" s="247">
        <f>IF(Software_On_Premise[[#This Row],[Physical servers (unit)]]="",Software_On_Premise[[#This Row],[Calculated Physical CPU (unit)]]/'3.3 Assumptions'!$D$12,Software_On_Premise[[#This Row],[Physical servers (unit)]])</f>
        <v>0</v>
      </c>
      <c r="R21" s="247">
        <f>Software_On_Premise[[#This Row],[vCPU (unit)]]/'3.3 Assumptions'!$D$13+Software_On_Premise[[#This Row],[Physical CPUs (unit)]]</f>
        <v>0</v>
      </c>
      <c r="S21" s="248">
        <f>Software_On_Premise[[#This Row],[Calculated Physical CPU (unit)]]*'3.2 Emission Factors'!$M$53*Software_On_Premise[[#This Row],[PUE]]</f>
        <v>0</v>
      </c>
      <c r="T21" s="246">
        <f>Software_On_Premise[[#This Row],[Energetic mix (kgCO2e / kWh)]]*Software_On_Premise[[#This Row],[Electric consumption (kWh)]]</f>
        <v>0</v>
      </c>
      <c r="U21"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21" s="248">
        <f>Software_On_Premise[[#This Row],[Scope 2 (kgCO2e)]]+Software_On_Premise[[#This Row],[Scope 3 (kgCO2e)]]</f>
        <v>0</v>
      </c>
    </row>
    <row r="22" spans="1:22" ht="15" customHeight="1">
      <c r="B22" s="241"/>
      <c r="C22" s="242"/>
      <c r="D22" s="242"/>
      <c r="E22" s="297"/>
      <c r="F22" s="242"/>
      <c r="G22" s="242"/>
      <c r="H22" s="242"/>
      <c r="I22" s="297"/>
      <c r="J22" s="242"/>
      <c r="K22" s="297"/>
      <c r="L22" s="242"/>
      <c r="M22" s="299"/>
      <c r="N22" s="299"/>
      <c r="O22" s="244"/>
      <c r="P22" s="245">
        <f>IFERROR(VLOOKUP(Software_On_Premise[[#This Row],[Server location ]],Mix_Energétique[],2,FALSE),0)</f>
        <v>0</v>
      </c>
      <c r="Q22" s="247">
        <f>IF(Software_On_Premise[[#This Row],[Physical servers (unit)]]="",Software_On_Premise[[#This Row],[Calculated Physical CPU (unit)]]/'3.3 Assumptions'!$D$12,Software_On_Premise[[#This Row],[Physical servers (unit)]])</f>
        <v>0</v>
      </c>
      <c r="R22" s="247">
        <f>Software_On_Premise[[#This Row],[vCPU (unit)]]/'3.3 Assumptions'!$D$13+Software_On_Premise[[#This Row],[Physical CPUs (unit)]]</f>
        <v>0</v>
      </c>
      <c r="S22" s="247">
        <f>Software_On_Premise[[#This Row],[Calculated Physical CPU (unit)]]*'3.2 Emission Factors'!$M$53*Software_On_Premise[[#This Row],[PUE]]</f>
        <v>0</v>
      </c>
      <c r="T22" s="246">
        <f>Software_On_Premise[[#This Row],[Energetic mix (kgCO2e / kWh)]]*Software_On_Premise[[#This Row],[Electric consumption (kWh)]]</f>
        <v>0</v>
      </c>
      <c r="U22"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22" s="247">
        <f>Software_On_Premise[[#This Row],[Scope 2 (kgCO2e)]]+Software_On_Premise[[#This Row],[Scope 3 (kgCO2e)]]</f>
        <v>0</v>
      </c>
    </row>
    <row r="23" spans="1:22" ht="15" customHeight="1">
      <c r="B23" s="241"/>
      <c r="C23" s="242"/>
      <c r="D23" s="242"/>
      <c r="E23" s="297"/>
      <c r="F23" s="242"/>
      <c r="G23" s="242"/>
      <c r="H23" s="242"/>
      <c r="I23" s="297"/>
      <c r="J23" s="242"/>
      <c r="K23" s="297"/>
      <c r="L23" s="242"/>
      <c r="M23" s="299"/>
      <c r="N23" s="299"/>
      <c r="O23" s="244"/>
      <c r="P23" s="245">
        <f>IFERROR(VLOOKUP(Software_On_Premise[[#This Row],[Server location ]],Mix_Energétique[],2,FALSE),0)</f>
        <v>0</v>
      </c>
      <c r="Q23" s="247">
        <f>IF(Software_On_Premise[[#This Row],[Physical servers (unit)]]="",Software_On_Premise[[#This Row],[Calculated Physical CPU (unit)]]/'3.3 Assumptions'!$D$12,Software_On_Premise[[#This Row],[Physical servers (unit)]])</f>
        <v>0</v>
      </c>
      <c r="R23" s="247">
        <f>Software_On_Premise[[#This Row],[vCPU (unit)]]/'3.3 Assumptions'!$D$13+Software_On_Premise[[#This Row],[Physical CPUs (unit)]]</f>
        <v>0</v>
      </c>
      <c r="S23" s="247">
        <f>Software_On_Premise[[#This Row],[Calculated Physical CPU (unit)]]*'3.2 Emission Factors'!$M$53*Software_On_Premise[[#This Row],[PUE]]</f>
        <v>0</v>
      </c>
      <c r="T23" s="246">
        <f>Software_On_Premise[[#This Row],[Energetic mix (kgCO2e / kWh)]]*Software_On_Premise[[#This Row],[Electric consumption (kWh)]]</f>
        <v>0</v>
      </c>
      <c r="U23"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23" s="247">
        <f>Software_On_Premise[[#This Row],[Scope 2 (kgCO2e)]]+Software_On_Premise[[#This Row],[Scope 3 (kgCO2e)]]</f>
        <v>0</v>
      </c>
    </row>
    <row r="24" spans="1:22" ht="15" customHeight="1">
      <c r="B24" s="241"/>
      <c r="C24" s="242"/>
      <c r="D24" s="242"/>
      <c r="E24" s="297"/>
      <c r="F24" s="242"/>
      <c r="G24" s="242"/>
      <c r="H24" s="242"/>
      <c r="I24" s="297"/>
      <c r="J24" s="242"/>
      <c r="K24" s="297"/>
      <c r="L24" s="242"/>
      <c r="M24" s="299"/>
      <c r="N24" s="299"/>
      <c r="O24" s="244"/>
      <c r="P24" s="245">
        <f>IFERROR(VLOOKUP(Software_On_Premise[[#This Row],[Server location ]],Mix_Energétique[],2,FALSE),0)</f>
        <v>0</v>
      </c>
      <c r="Q24" s="247">
        <f>IF(Software_On_Premise[[#This Row],[Physical servers (unit)]]="",Software_On_Premise[[#This Row],[Calculated Physical CPU (unit)]]/'3.3 Assumptions'!$D$12,Software_On_Premise[[#This Row],[Physical servers (unit)]])</f>
        <v>0</v>
      </c>
      <c r="R24" s="247">
        <f>Software_On_Premise[[#This Row],[vCPU (unit)]]/'3.3 Assumptions'!$D$13+Software_On_Premise[[#This Row],[Physical CPUs (unit)]]</f>
        <v>0</v>
      </c>
      <c r="S24" s="247">
        <f>Software_On_Premise[[#This Row],[Calculated Physical CPU (unit)]]*'3.2 Emission Factors'!$M$53*Software_On_Premise[[#This Row],[PUE]]</f>
        <v>0</v>
      </c>
      <c r="T24" s="246">
        <f>Software_On_Premise[[#This Row],[Energetic mix (kgCO2e / kWh)]]*Software_On_Premise[[#This Row],[Electric consumption (kWh)]]</f>
        <v>0</v>
      </c>
      <c r="U24"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24" s="247">
        <f>Software_On_Premise[[#This Row],[Scope 2 (kgCO2e)]]+Software_On_Premise[[#This Row],[Scope 3 (kgCO2e)]]</f>
        <v>0</v>
      </c>
    </row>
    <row r="25" spans="1:22" ht="15" customHeight="1">
      <c r="B25" s="241"/>
      <c r="C25" s="242"/>
      <c r="D25" s="242"/>
      <c r="E25" s="297"/>
      <c r="F25" s="242"/>
      <c r="G25" s="242"/>
      <c r="H25" s="242"/>
      <c r="I25" s="297"/>
      <c r="J25" s="242"/>
      <c r="K25" s="297"/>
      <c r="L25" s="242"/>
      <c r="M25" s="299"/>
      <c r="N25" s="299"/>
      <c r="O25" s="244"/>
      <c r="P25" s="245">
        <f>IFERROR(VLOOKUP(Software_On_Premise[[#This Row],[Server location ]],Mix_Energétique[],2,FALSE),0)</f>
        <v>0</v>
      </c>
      <c r="Q25" s="247">
        <f>IF(Software_On_Premise[[#This Row],[Physical servers (unit)]]="",Software_On_Premise[[#This Row],[Calculated Physical CPU (unit)]]/'3.3 Assumptions'!$D$12,Software_On_Premise[[#This Row],[Physical servers (unit)]])</f>
        <v>0</v>
      </c>
      <c r="R25" s="247">
        <f>Software_On_Premise[[#This Row],[vCPU (unit)]]/'3.3 Assumptions'!$D$13+Software_On_Premise[[#This Row],[Physical CPUs (unit)]]</f>
        <v>0</v>
      </c>
      <c r="S25" s="247">
        <f>Software_On_Premise[[#This Row],[Calculated Physical CPU (unit)]]*'3.2 Emission Factors'!$M$53*Software_On_Premise[[#This Row],[PUE]]</f>
        <v>0</v>
      </c>
      <c r="T25" s="246">
        <f>Software_On_Premise[[#This Row],[Energetic mix (kgCO2e / kWh)]]*Software_On_Premise[[#This Row],[Electric consumption (kWh)]]</f>
        <v>0</v>
      </c>
      <c r="U25" s="246">
        <f>IFERROR((Software_On_Premise[[#This Row],[Calculated physical server (unit)]]*'3.2 Emission Factors'!$G$68*'3.3 Assumptions'!$D$14+Software_On_Premise[[#This Row],[Calculated physical server (unit)]]*'3.2 Emission Factors'!$F$47+Software_On_Premise[[#This Row],[Calculated Physical CPU (unit)]]*'3.2 Emission Factors'!$J$47+Software_On_Premise[[#This Row],[RAM (GB)]]*'3.2 Emission Factors'!$H$47+Software_On_Premise[[#This Row],[HDD (unit)]]*'3.2 Emission Factors'!$N$47+Software_On_Premise[[#This Row],[SSD (GB)]]*'3.2 Emission Factors'!$O$47)/Software_On_Premise[[#This Row],[Server lifespan]],0)</f>
        <v>0</v>
      </c>
      <c r="V25" s="247">
        <f>Software_On_Premise[[#This Row],[Scope 2 (kgCO2e)]]+Software_On_Premise[[#This Row],[Scope 3 (kgCO2e)]]</f>
        <v>0</v>
      </c>
    </row>
    <row r="26" spans="1:22" ht="12.6" customHeight="1"/>
    <row r="27" spans="1:22" ht="14.45"/>
    <row r="28" spans="1:22" ht="63">
      <c r="A28" s="207" t="s">
        <v>303</v>
      </c>
    </row>
    <row r="29" spans="1:22" ht="21">
      <c r="A29" s="249"/>
    </row>
    <row r="30" spans="1:22" ht="21">
      <c r="A30" s="249"/>
    </row>
    <row r="31" spans="1:22" ht="21">
      <c r="A31" s="249"/>
    </row>
    <row r="32" spans="1:22" ht="14.45"/>
    <row r="33" spans="1:22" ht="21.95" customHeight="1">
      <c r="A33" s="99" t="s">
        <v>304</v>
      </c>
    </row>
    <row r="35" spans="1:22" ht="29.1">
      <c r="B35" s="240" t="s">
        <v>273</v>
      </c>
      <c r="C35" s="240" t="s">
        <v>294</v>
      </c>
      <c r="D35" s="240" t="s">
        <v>295</v>
      </c>
      <c r="E35" s="240" t="s">
        <v>296</v>
      </c>
      <c r="F35" s="240" t="s">
        <v>277</v>
      </c>
      <c r="G35" s="113" t="s">
        <v>278</v>
      </c>
      <c r="H35" s="113" t="s">
        <v>268</v>
      </c>
      <c r="I35" s="113" t="s">
        <v>279</v>
      </c>
      <c r="J35" s="113" t="s">
        <v>297</v>
      </c>
      <c r="K35" s="113" t="s">
        <v>280</v>
      </c>
      <c r="L35" s="113" t="s">
        <v>281</v>
      </c>
      <c r="M35" s="113" t="s">
        <v>282</v>
      </c>
      <c r="N35" s="113" t="s">
        <v>283</v>
      </c>
      <c r="O35" s="113" t="s">
        <v>190</v>
      </c>
      <c r="P35" s="113" t="s">
        <v>284</v>
      </c>
      <c r="Q35" s="113" t="s">
        <v>298</v>
      </c>
      <c r="R35" s="113" t="s">
        <v>299</v>
      </c>
      <c r="S35" s="113" t="s">
        <v>285</v>
      </c>
      <c r="T35" s="113" t="s">
        <v>286</v>
      </c>
      <c r="U35" s="113" t="s">
        <v>287</v>
      </c>
      <c r="V35" s="66" t="s">
        <v>288</v>
      </c>
    </row>
    <row r="36" spans="1:22" ht="15" customHeight="1">
      <c r="B36" s="241" t="s">
        <v>289</v>
      </c>
      <c r="C36" s="242" t="s">
        <v>305</v>
      </c>
      <c r="D36" s="242" t="s">
        <v>301</v>
      </c>
      <c r="E36" s="297"/>
      <c r="F36" s="242">
        <v>5</v>
      </c>
      <c r="G36" s="242" t="s">
        <v>240</v>
      </c>
      <c r="H36" s="242">
        <v>1.59</v>
      </c>
      <c r="I36" s="297">
        <v>8</v>
      </c>
      <c r="J36" s="242"/>
      <c r="K36" s="297">
        <v>16</v>
      </c>
      <c r="L36" s="242">
        <v>8000</v>
      </c>
      <c r="M36" s="298">
        <v>8.6746987949999994</v>
      </c>
      <c r="N36" s="299">
        <v>21274.248879999999</v>
      </c>
      <c r="O36" s="244"/>
      <c r="P36" s="245">
        <f>IFERROR(VLOOKUP(Software_Cloud_ServerMethod[[#This Row],[Server location ]],Mix_Energétique[],2,FALSE),0)</f>
        <v>5.8000000000000003E-2</v>
      </c>
      <c r="Q36" s="246">
        <f>IF(Software_Cloud_ServerMethod[[#This Row],[Physical servers (unit)]]="",Software_Cloud_ServerMethod[[#This Row],[Calculated Physical CPU (unit)]]/'3.3 Assumptions'!$D$12,Software_Cloud_ServerMethod[[#This Row],[Physical servers (unit)]])</f>
        <v>8</v>
      </c>
      <c r="R36" s="247">
        <f>Software_Cloud_ServerMethod[[#This Row],[vCPU (unit)]]/'3.3 Assumptions'!$D$13+Software_Cloud_ServerMethod[[#This Row],[Physical CPUs (unit)]]</f>
        <v>16</v>
      </c>
      <c r="S36" s="247">
        <f>Software_Cloud_ServerMethod[[#This Row],[Calculated Physical CPU (unit)]]*'3.2 Emission Factors'!$M$53*Software_Cloud_ServerMethod[[#This Row],[PUE]]</f>
        <v>22486.008960000003</v>
      </c>
      <c r="T36" s="246">
        <f>Software_Cloud_ServerMethod[[#This Row],[Energetic mix (kgCO2e / kWh)]]*Software_Cloud_ServerMethod[[#This Row],[Electric consumption (kWh)]]</f>
        <v>1304.1885196800001</v>
      </c>
      <c r="U36"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7195.588004193788</v>
      </c>
      <c r="V36" s="247">
        <f>Software_Cloud_ServerMethod[[#This Row],[Scope 2 (kgCO2e)]]+Software_Cloud_ServerMethod[[#This Row],[Scope 3 (kgCO2e)]]</f>
        <v>8499.7765238737884</v>
      </c>
    </row>
    <row r="37" spans="1:22" ht="15" customHeight="1">
      <c r="B37" s="241" t="s">
        <v>289</v>
      </c>
      <c r="C37" s="242" t="s">
        <v>306</v>
      </c>
      <c r="D37" s="242" t="s">
        <v>302</v>
      </c>
      <c r="E37" s="297"/>
      <c r="F37" s="242">
        <v>5</v>
      </c>
      <c r="G37" s="242" t="s">
        <v>240</v>
      </c>
      <c r="H37" s="242">
        <v>1.59</v>
      </c>
      <c r="I37" s="297">
        <v>6</v>
      </c>
      <c r="J37" s="242"/>
      <c r="K37" s="297">
        <v>216</v>
      </c>
      <c r="L37" s="242">
        <v>9000</v>
      </c>
      <c r="M37" s="298">
        <v>8.6746987949999994</v>
      </c>
      <c r="N37" s="299">
        <v>21274.248879999999</v>
      </c>
      <c r="O37" s="244"/>
      <c r="P37" s="245">
        <f>IFERROR(VLOOKUP(Software_Cloud_ServerMethod[[#This Row],[Server location ]],Mix_Energétique[],2,FALSE),0)</f>
        <v>5.8000000000000003E-2</v>
      </c>
      <c r="Q37" s="246">
        <f>IF(Software_Cloud_ServerMethod[[#This Row],[Physical servers (unit)]]="",Software_Cloud_ServerMethod[[#This Row],[Calculated Physical CPU (unit)]]/'3.3 Assumptions'!$D$12,Software_Cloud_ServerMethod[[#This Row],[Physical servers (unit)]])</f>
        <v>6</v>
      </c>
      <c r="R37" s="247">
        <f>Software_Cloud_ServerMethod[[#This Row],[vCPU (unit)]]/'3.3 Assumptions'!$D$13+Software_Cloud_ServerMethod[[#This Row],[Physical CPUs (unit)]]</f>
        <v>216</v>
      </c>
      <c r="S37" s="247">
        <f>Software_Cloud_ServerMethod[[#This Row],[Calculated Physical CPU (unit)]]*'3.2 Emission Factors'!$M$53*Software_Cloud_ServerMethod[[#This Row],[PUE]]</f>
        <v>303561.12096000003</v>
      </c>
      <c r="T37" s="246">
        <f>Software_Cloud_ServerMethod[[#This Row],[Energetic mix (kgCO2e / kWh)]]*Software_Cloud_ServerMethod[[#This Row],[Electric consumption (kWh)]]</f>
        <v>17606.545015680003</v>
      </c>
      <c r="U37"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13383.36578197157</v>
      </c>
      <c r="V37" s="247">
        <f>Software_Cloud_ServerMethod[[#This Row],[Scope 2 (kgCO2e)]]+Software_Cloud_ServerMethod[[#This Row],[Scope 3 (kgCO2e)]]</f>
        <v>30989.910797651573</v>
      </c>
    </row>
    <row r="38" spans="1:22" ht="15" customHeight="1">
      <c r="B38" s="241"/>
      <c r="C38" s="242"/>
      <c r="D38" s="242"/>
      <c r="E38" s="297"/>
      <c r="F38" s="242"/>
      <c r="G38" s="242"/>
      <c r="H38" s="242"/>
      <c r="I38" s="297"/>
      <c r="J38" s="242"/>
      <c r="K38" s="297"/>
      <c r="L38" s="242"/>
      <c r="M38" s="298"/>
      <c r="N38" s="299"/>
      <c r="O38" s="244"/>
      <c r="P38" s="245">
        <f>IFERROR(VLOOKUP(Software_Cloud_ServerMethod[[#This Row],[Server location ]],Mix_Energétique[],2,FALSE),0)</f>
        <v>0</v>
      </c>
      <c r="Q38" s="246">
        <f>IF(Software_Cloud_ServerMethod[[#This Row],[Physical servers (unit)]]="",Software_Cloud_ServerMethod[[#This Row],[Calculated Physical CPU (unit)]]/'3.3 Assumptions'!$D$12,Software_Cloud_ServerMethod[[#This Row],[Physical servers (unit)]])</f>
        <v>0</v>
      </c>
      <c r="R38" s="247">
        <f>Software_Cloud_ServerMethod[[#This Row],[vCPU (unit)]]/'3.3 Assumptions'!$D$13+Software_Cloud_ServerMethod[[#This Row],[Physical CPUs (unit)]]</f>
        <v>0</v>
      </c>
      <c r="S38" s="247">
        <f>Software_Cloud_ServerMethod[[#This Row],[Calculated Physical CPU (unit)]]*'3.2 Emission Factors'!$M$53*Software_Cloud_ServerMethod[[#This Row],[PUE]]</f>
        <v>0</v>
      </c>
      <c r="T38" s="246">
        <f>Software_Cloud_ServerMethod[[#This Row],[Energetic mix (kgCO2e / kWh)]]*Software_Cloud_ServerMethod[[#This Row],[Electric consumption (kWh)]]</f>
        <v>0</v>
      </c>
      <c r="U38"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38" s="247">
        <f>Software_Cloud_ServerMethod[[#This Row],[Scope 2 (kgCO2e)]]+Software_Cloud_ServerMethod[[#This Row],[Scope 3 (kgCO2e)]]</f>
        <v>0</v>
      </c>
    </row>
    <row r="39" spans="1:22" ht="15" customHeight="1">
      <c r="B39" s="241"/>
      <c r="C39" s="242"/>
      <c r="D39" s="242"/>
      <c r="E39" s="297"/>
      <c r="F39" s="242"/>
      <c r="G39" s="242"/>
      <c r="H39" s="242"/>
      <c r="I39" s="297"/>
      <c r="J39" s="242"/>
      <c r="K39" s="297"/>
      <c r="L39" s="242"/>
      <c r="M39" s="299"/>
      <c r="N39" s="299"/>
      <c r="O39" s="244"/>
      <c r="P39" s="245">
        <f>IFERROR(VLOOKUP(Software_Cloud_ServerMethod[[#This Row],[Server location ]],Mix_Energétique[],2,FALSE),0)</f>
        <v>0</v>
      </c>
      <c r="Q39" s="247">
        <f>IF(Software_Cloud_ServerMethod[[#This Row],[Physical servers (unit)]]="",Software_Cloud_ServerMethod[[#This Row],[Calculated Physical CPU (unit)]]/'3.3 Assumptions'!$D$12,Software_Cloud_ServerMethod[[#This Row],[Physical servers (unit)]])</f>
        <v>0</v>
      </c>
      <c r="R39" s="247">
        <f>Software_Cloud_ServerMethod[[#This Row],[vCPU (unit)]]/'3.3 Assumptions'!$D$13+Software_Cloud_ServerMethod[[#This Row],[Physical CPUs (unit)]]</f>
        <v>0</v>
      </c>
      <c r="S39" s="247">
        <f>Software_Cloud_ServerMethod[[#This Row],[Calculated Physical CPU (unit)]]*'3.2 Emission Factors'!$M$53*Software_Cloud_ServerMethod[[#This Row],[PUE]]</f>
        <v>0</v>
      </c>
      <c r="T39" s="246">
        <f>Software_Cloud_ServerMethod[[#This Row],[Energetic mix (kgCO2e / kWh)]]*Software_Cloud_ServerMethod[[#This Row],[Electric consumption (kWh)]]</f>
        <v>0</v>
      </c>
      <c r="U39"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39" s="247">
        <f>Software_Cloud_ServerMethod[[#This Row],[Scope 2 (kgCO2e)]]+Software_Cloud_ServerMethod[[#This Row],[Scope 3 (kgCO2e)]]</f>
        <v>0</v>
      </c>
    </row>
    <row r="40" spans="1:22" ht="15" customHeight="1">
      <c r="B40" s="241"/>
      <c r="C40" s="242"/>
      <c r="D40" s="242"/>
      <c r="E40" s="297"/>
      <c r="F40" s="242"/>
      <c r="G40" s="242"/>
      <c r="H40" s="242"/>
      <c r="I40" s="297"/>
      <c r="J40" s="242"/>
      <c r="K40" s="297"/>
      <c r="L40" s="242"/>
      <c r="M40" s="299"/>
      <c r="N40" s="299"/>
      <c r="O40" s="244"/>
      <c r="P40" s="245">
        <f>IFERROR(VLOOKUP(Software_Cloud_ServerMethod[[#This Row],[Server location ]],Mix_Energétique[],2,FALSE),0)</f>
        <v>0</v>
      </c>
      <c r="Q40" s="247">
        <f>IF(Software_Cloud_ServerMethod[[#This Row],[Physical servers (unit)]]="",Software_Cloud_ServerMethod[[#This Row],[Calculated Physical CPU (unit)]]/'3.3 Assumptions'!$D$12,Software_Cloud_ServerMethod[[#This Row],[Physical servers (unit)]])</f>
        <v>0</v>
      </c>
      <c r="R40" s="247">
        <f>Software_Cloud_ServerMethod[[#This Row],[vCPU (unit)]]/'3.3 Assumptions'!$D$13+Software_Cloud_ServerMethod[[#This Row],[Physical CPUs (unit)]]</f>
        <v>0</v>
      </c>
      <c r="S40" s="247">
        <f>Software_Cloud_ServerMethod[[#This Row],[Calculated Physical CPU (unit)]]*'3.2 Emission Factors'!$M$53*Software_Cloud_ServerMethod[[#This Row],[PUE]]</f>
        <v>0</v>
      </c>
      <c r="T40" s="246">
        <f>Software_Cloud_ServerMethod[[#This Row],[Energetic mix (kgCO2e / kWh)]]*Software_Cloud_ServerMethod[[#This Row],[Electric consumption (kWh)]]</f>
        <v>0</v>
      </c>
      <c r="U40"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40" s="247">
        <f>Software_Cloud_ServerMethod[[#This Row],[Scope 2 (kgCO2e)]]+Software_Cloud_ServerMethod[[#This Row],[Scope 3 (kgCO2e)]]</f>
        <v>0</v>
      </c>
    </row>
    <row r="41" spans="1:22" ht="15" customHeight="1">
      <c r="B41" s="241"/>
      <c r="C41" s="242"/>
      <c r="D41" s="242"/>
      <c r="E41" s="297"/>
      <c r="F41" s="242"/>
      <c r="G41" s="242"/>
      <c r="H41" s="242"/>
      <c r="I41" s="297"/>
      <c r="J41" s="242"/>
      <c r="K41" s="297"/>
      <c r="L41" s="242"/>
      <c r="M41" s="299"/>
      <c r="N41" s="299"/>
      <c r="O41" s="244"/>
      <c r="P41" s="245">
        <f>IFERROR(VLOOKUP(Software_Cloud_ServerMethod[[#This Row],[Server location ]],Mix_Energétique[],2,FALSE),0)</f>
        <v>0</v>
      </c>
      <c r="Q41" s="247">
        <f>IF(Software_Cloud_ServerMethod[[#This Row],[Physical servers (unit)]]="",Software_Cloud_ServerMethod[[#This Row],[Calculated Physical CPU (unit)]]/'3.3 Assumptions'!$D$12,Software_Cloud_ServerMethod[[#This Row],[Physical servers (unit)]])</f>
        <v>0</v>
      </c>
      <c r="R41" s="247">
        <f>Software_Cloud_ServerMethod[[#This Row],[vCPU (unit)]]/'3.3 Assumptions'!$D$13+Software_Cloud_ServerMethod[[#This Row],[Physical CPUs (unit)]]</f>
        <v>0</v>
      </c>
      <c r="S41" s="247">
        <f>Software_Cloud_ServerMethod[[#This Row],[Calculated Physical CPU (unit)]]*'3.2 Emission Factors'!$M$53*Software_Cloud_ServerMethod[[#This Row],[PUE]]</f>
        <v>0</v>
      </c>
      <c r="T41" s="246">
        <f>Software_Cloud_ServerMethod[[#This Row],[Energetic mix (kgCO2e / kWh)]]*Software_Cloud_ServerMethod[[#This Row],[Electric consumption (kWh)]]</f>
        <v>0</v>
      </c>
      <c r="U41"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41" s="247">
        <f>Software_Cloud_ServerMethod[[#This Row],[Scope 2 (kgCO2e)]]+Software_Cloud_ServerMethod[[#This Row],[Scope 3 (kgCO2e)]]</f>
        <v>0</v>
      </c>
    </row>
    <row r="42" spans="1:22" ht="15" customHeight="1">
      <c r="B42" s="241"/>
      <c r="C42" s="242"/>
      <c r="D42" s="242"/>
      <c r="E42" s="297"/>
      <c r="F42" s="242"/>
      <c r="G42" s="242"/>
      <c r="H42" s="242"/>
      <c r="I42" s="297"/>
      <c r="J42" s="242"/>
      <c r="K42" s="297"/>
      <c r="L42" s="242"/>
      <c r="M42" s="299"/>
      <c r="N42" s="299"/>
      <c r="O42" s="244"/>
      <c r="P42" s="245">
        <f>IFERROR(VLOOKUP(Software_Cloud_ServerMethod[[#This Row],[Server location ]],Mix_Energétique[],2,FALSE),0)</f>
        <v>0</v>
      </c>
      <c r="Q42" s="247">
        <f>IF(Software_Cloud_ServerMethod[[#This Row],[Physical servers (unit)]]="",Software_Cloud_ServerMethod[[#This Row],[Calculated Physical CPU (unit)]]/'3.3 Assumptions'!$D$12,Software_Cloud_ServerMethod[[#This Row],[Physical servers (unit)]])</f>
        <v>0</v>
      </c>
      <c r="R42" s="247">
        <f>Software_Cloud_ServerMethod[[#This Row],[vCPU (unit)]]/'3.3 Assumptions'!$D$13+Software_Cloud_ServerMethod[[#This Row],[Physical CPUs (unit)]]</f>
        <v>0</v>
      </c>
      <c r="S42" s="248">
        <f>Software_Cloud_ServerMethod[[#This Row],[Calculated Physical CPU (unit)]]*'3.2 Emission Factors'!$M$53*Software_Cloud_ServerMethod[[#This Row],[PUE]]</f>
        <v>0</v>
      </c>
      <c r="T42" s="246">
        <f>Software_Cloud_ServerMethod[[#This Row],[Energetic mix (kgCO2e / kWh)]]*Software_Cloud_ServerMethod[[#This Row],[Electric consumption (kWh)]]</f>
        <v>0</v>
      </c>
      <c r="U42"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42" s="248">
        <f>Software_Cloud_ServerMethod[[#This Row],[Scope 2 (kgCO2e)]]+Software_Cloud_ServerMethod[[#This Row],[Scope 3 (kgCO2e)]]</f>
        <v>0</v>
      </c>
    </row>
    <row r="43" spans="1:22" ht="15" customHeight="1">
      <c r="B43" s="241"/>
      <c r="C43" s="242"/>
      <c r="D43" s="242"/>
      <c r="E43" s="297"/>
      <c r="F43" s="242"/>
      <c r="G43" s="242"/>
      <c r="H43" s="242"/>
      <c r="I43" s="297"/>
      <c r="J43" s="242"/>
      <c r="K43" s="297"/>
      <c r="L43" s="242"/>
      <c r="M43" s="299"/>
      <c r="N43" s="299"/>
      <c r="O43" s="244"/>
      <c r="P43" s="245">
        <f>IFERROR(VLOOKUP(Software_Cloud_ServerMethod[[#This Row],[Server location ]],Mix_Energétique[],2,FALSE),0)</f>
        <v>0</v>
      </c>
      <c r="Q43" s="247">
        <f>IF(Software_Cloud_ServerMethod[[#This Row],[Physical servers (unit)]]="",Software_Cloud_ServerMethod[[#This Row],[Calculated Physical CPU (unit)]]/'3.3 Assumptions'!$D$12,Software_Cloud_ServerMethod[[#This Row],[Physical servers (unit)]])</f>
        <v>0</v>
      </c>
      <c r="R43" s="247">
        <f>Software_Cloud_ServerMethod[[#This Row],[vCPU (unit)]]/'3.3 Assumptions'!$D$13+Software_Cloud_ServerMethod[[#This Row],[Physical CPUs (unit)]]</f>
        <v>0</v>
      </c>
      <c r="S43" s="247">
        <f>Software_Cloud_ServerMethod[[#This Row],[Calculated Physical CPU (unit)]]*'3.2 Emission Factors'!$M$53*Software_Cloud_ServerMethod[[#This Row],[PUE]]</f>
        <v>0</v>
      </c>
      <c r="T43" s="246">
        <f>Software_Cloud_ServerMethod[[#This Row],[Energetic mix (kgCO2e / kWh)]]*Software_Cloud_ServerMethod[[#This Row],[Electric consumption (kWh)]]</f>
        <v>0</v>
      </c>
      <c r="U43"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43" s="247">
        <f>Software_Cloud_ServerMethod[[#This Row],[Scope 2 (kgCO2e)]]+Software_Cloud_ServerMethod[[#This Row],[Scope 3 (kgCO2e)]]</f>
        <v>0</v>
      </c>
    </row>
    <row r="44" spans="1:22" ht="15" customHeight="1">
      <c r="B44" s="241"/>
      <c r="C44" s="242"/>
      <c r="D44" s="242"/>
      <c r="E44" s="297"/>
      <c r="F44" s="242"/>
      <c r="G44" s="242"/>
      <c r="H44" s="242"/>
      <c r="I44" s="297"/>
      <c r="J44" s="242"/>
      <c r="K44" s="297"/>
      <c r="L44" s="242"/>
      <c r="M44" s="299"/>
      <c r="N44" s="299"/>
      <c r="O44" s="244"/>
      <c r="P44" s="245">
        <f>IFERROR(VLOOKUP(Software_Cloud_ServerMethod[[#This Row],[Server location ]],Mix_Energétique[],2,FALSE),0)</f>
        <v>0</v>
      </c>
      <c r="Q44" s="247">
        <f>IF(Software_Cloud_ServerMethod[[#This Row],[Physical servers (unit)]]="",Software_Cloud_ServerMethod[[#This Row],[Calculated Physical CPU (unit)]]/'3.3 Assumptions'!$D$12,Software_Cloud_ServerMethod[[#This Row],[Physical servers (unit)]])</f>
        <v>0</v>
      </c>
      <c r="R44" s="247">
        <f>Software_Cloud_ServerMethod[[#This Row],[vCPU (unit)]]/'3.3 Assumptions'!$D$13+Software_Cloud_ServerMethod[[#This Row],[Physical CPUs (unit)]]</f>
        <v>0</v>
      </c>
      <c r="S44" s="247">
        <f>Software_Cloud_ServerMethod[[#This Row],[Calculated Physical CPU (unit)]]*'3.2 Emission Factors'!$M$53*Software_Cloud_ServerMethod[[#This Row],[PUE]]</f>
        <v>0</v>
      </c>
      <c r="T44" s="246">
        <f>Software_Cloud_ServerMethod[[#This Row],[Energetic mix (kgCO2e / kWh)]]*Software_Cloud_ServerMethod[[#This Row],[Electric consumption (kWh)]]</f>
        <v>0</v>
      </c>
      <c r="U44"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44" s="247">
        <f>Software_Cloud_ServerMethod[[#This Row],[Scope 2 (kgCO2e)]]+Software_Cloud_ServerMethod[[#This Row],[Scope 3 (kgCO2e)]]</f>
        <v>0</v>
      </c>
    </row>
    <row r="45" spans="1:22" ht="15" customHeight="1">
      <c r="B45" s="241"/>
      <c r="C45" s="242"/>
      <c r="D45" s="242"/>
      <c r="E45" s="297"/>
      <c r="F45" s="242"/>
      <c r="G45" s="242"/>
      <c r="H45" s="242"/>
      <c r="I45" s="297"/>
      <c r="J45" s="242"/>
      <c r="K45" s="297"/>
      <c r="L45" s="242"/>
      <c r="M45" s="299"/>
      <c r="N45" s="299"/>
      <c r="O45" s="244"/>
      <c r="P45" s="245">
        <f>IFERROR(VLOOKUP(Software_Cloud_ServerMethod[[#This Row],[Server location ]],Mix_Energétique[],2,FALSE),0)</f>
        <v>0</v>
      </c>
      <c r="Q45" s="247">
        <f>IF(Software_Cloud_ServerMethod[[#This Row],[Physical servers (unit)]]="",Software_Cloud_ServerMethod[[#This Row],[Calculated Physical CPU (unit)]]/'3.3 Assumptions'!$D$12,Software_Cloud_ServerMethod[[#This Row],[Physical servers (unit)]])</f>
        <v>0</v>
      </c>
      <c r="R45" s="247">
        <f>Software_Cloud_ServerMethod[[#This Row],[vCPU (unit)]]/'3.3 Assumptions'!$D$13+Software_Cloud_ServerMethod[[#This Row],[Physical CPUs (unit)]]</f>
        <v>0</v>
      </c>
      <c r="S45" s="247">
        <f>Software_Cloud_ServerMethod[[#This Row],[Calculated Physical CPU (unit)]]*'3.2 Emission Factors'!$M$53*Software_Cloud_ServerMethod[[#This Row],[PUE]]</f>
        <v>0</v>
      </c>
      <c r="T45" s="246">
        <f>Software_Cloud_ServerMethod[[#This Row],[Energetic mix (kgCO2e / kWh)]]*Software_Cloud_ServerMethod[[#This Row],[Electric consumption (kWh)]]</f>
        <v>0</v>
      </c>
      <c r="U45"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45" s="247">
        <f>Software_Cloud_ServerMethod[[#This Row],[Scope 2 (kgCO2e)]]+Software_Cloud_ServerMethod[[#This Row],[Scope 3 (kgCO2e)]]</f>
        <v>0</v>
      </c>
    </row>
    <row r="46" spans="1:22" ht="15" customHeight="1">
      <c r="B46" s="241"/>
      <c r="C46" s="242"/>
      <c r="D46" s="242"/>
      <c r="E46" s="297"/>
      <c r="F46" s="242"/>
      <c r="G46" s="242"/>
      <c r="H46" s="242"/>
      <c r="I46" s="297"/>
      <c r="J46" s="242"/>
      <c r="K46" s="297"/>
      <c r="L46" s="242"/>
      <c r="M46" s="299"/>
      <c r="N46" s="299"/>
      <c r="O46" s="244"/>
      <c r="P46" s="245">
        <f>IFERROR(VLOOKUP(Software_Cloud_ServerMethod[[#This Row],[Server location ]],Mix_Energétique[],2,FALSE),0)</f>
        <v>0</v>
      </c>
      <c r="Q46" s="247">
        <f>IF(Software_Cloud_ServerMethod[[#This Row],[Physical servers (unit)]]="",Software_Cloud_ServerMethod[[#This Row],[Calculated Physical CPU (unit)]]/'3.3 Assumptions'!$D$12,Software_Cloud_ServerMethod[[#This Row],[Physical servers (unit)]])</f>
        <v>0</v>
      </c>
      <c r="R46" s="247">
        <f>Software_Cloud_ServerMethod[[#This Row],[vCPU (unit)]]/'3.3 Assumptions'!$D$13+Software_Cloud_ServerMethod[[#This Row],[Physical CPUs (unit)]]</f>
        <v>0</v>
      </c>
      <c r="S46" s="247">
        <f>Software_Cloud_ServerMethod[[#This Row],[Calculated Physical CPU (unit)]]*'3.2 Emission Factors'!$M$53*Software_Cloud_ServerMethod[[#This Row],[PUE]]</f>
        <v>0</v>
      </c>
      <c r="T46" s="246">
        <f>Software_Cloud_ServerMethod[[#This Row],[Energetic mix (kgCO2e / kWh)]]*Software_Cloud_ServerMethod[[#This Row],[Electric consumption (kWh)]]</f>
        <v>0</v>
      </c>
      <c r="U46" s="246">
        <f>IFERROR((Software_Cloud_ServerMethod[[#This Row],[Calculated physical server (unit)]]*'3.2 Emission Factors'!$G$68*'3.3 Assumptions'!$D$14+Software_Cloud_ServerMethod[[#This Row],[Calculated physical server (unit)]]*'3.2 Emission Factors'!$F$47+Software_Cloud_ServerMethod[[#This Row],[Calculated Physical CPU (unit)]]*'3.2 Emission Factors'!$J$47+Software_Cloud_ServerMethod[[#This Row],[RAM (GB)]]*'3.2 Emission Factors'!$H$47+Software_Cloud_ServerMethod[[#This Row],[HDD (unit)]]*'3.2 Emission Factors'!$N$47+Software_Cloud_ServerMethod[[#This Row],[SSD (GB)]]*'3.2 Emission Factors'!$O$47)/Software_Cloud_ServerMethod[[#This Row],[Server lifespan]],0)</f>
        <v>0</v>
      </c>
      <c r="V46" s="247">
        <f>Software_Cloud_ServerMethod[[#This Row],[Scope 2 (kgCO2e)]]+Software_Cloud_ServerMethod[[#This Row],[Scope 3 (kgCO2e)]]</f>
        <v>0</v>
      </c>
    </row>
    <row r="48" spans="1:22" ht="21">
      <c r="A48" s="99" t="s">
        <v>307</v>
      </c>
    </row>
    <row r="50" spans="2:8" ht="15" customHeight="1">
      <c r="B50" s="240" t="s">
        <v>294</v>
      </c>
      <c r="C50" s="240" t="s">
        <v>295</v>
      </c>
      <c r="D50" s="240" t="s">
        <v>296</v>
      </c>
      <c r="E50" s="113" t="s">
        <v>308</v>
      </c>
      <c r="F50" s="113" t="s">
        <v>190</v>
      </c>
      <c r="G50" s="113" t="s">
        <v>309</v>
      </c>
      <c r="H50" s="66" t="s">
        <v>288</v>
      </c>
    </row>
    <row r="51" spans="2:8" ht="15" customHeight="1">
      <c r="B51" s="242" t="s">
        <v>310</v>
      </c>
      <c r="C51" s="242"/>
      <c r="D51" s="297"/>
      <c r="E51" s="250">
        <v>21274.248879999999</v>
      </c>
      <c r="F51" s="244"/>
      <c r="G51" s="246">
        <f>'3.2 Emission Factors'!$G$89</f>
        <v>75</v>
      </c>
      <c r="H51" s="246">
        <f>Software_Cloud_CostMethod[[#This Row],[Cost (k€)]]*Software_Cloud_CostMethod[[#This Row],[Emission Factor (kgCO2e / k€)]]</f>
        <v>1595568.666</v>
      </c>
    </row>
    <row r="52" spans="2:8" ht="15" customHeight="1">
      <c r="B52" s="242" t="s">
        <v>311</v>
      </c>
      <c r="C52" s="242"/>
      <c r="D52" s="297"/>
      <c r="E52" s="250">
        <v>21274.248879999999</v>
      </c>
      <c r="F52" s="244"/>
      <c r="G52" s="246">
        <f>'3.2 Emission Factors'!$G$89</f>
        <v>75</v>
      </c>
      <c r="H52" s="246">
        <f>Software_Cloud_CostMethod[[#This Row],[Cost (k€)]]*Software_Cloud_CostMethod[[#This Row],[Emission Factor (kgCO2e / k€)]]</f>
        <v>1595568.666</v>
      </c>
    </row>
    <row r="53" spans="2:8" ht="15" customHeight="1">
      <c r="B53" s="242" t="s">
        <v>312</v>
      </c>
      <c r="C53" s="242"/>
      <c r="D53" s="297"/>
      <c r="E53" s="250">
        <v>16310.25748</v>
      </c>
      <c r="F53" s="244"/>
      <c r="G53" s="246">
        <f>'3.2 Emission Factors'!$G$89</f>
        <v>75</v>
      </c>
      <c r="H53" s="246">
        <f>Software_Cloud_CostMethod[[#This Row],[Cost (k€)]]*Software_Cloud_CostMethod[[#This Row],[Emission Factor (kgCO2e / k€)]]</f>
        <v>1223269.311</v>
      </c>
    </row>
    <row r="54" spans="2:8" ht="15" customHeight="1">
      <c r="B54" s="242" t="s">
        <v>313</v>
      </c>
      <c r="C54" s="242"/>
      <c r="D54" s="297"/>
      <c r="E54" s="250"/>
      <c r="F54" s="244"/>
      <c r="G54" s="246">
        <f>'3.2 Emission Factors'!$G$89</f>
        <v>75</v>
      </c>
      <c r="H54" s="246">
        <f>Software_Cloud_CostMethod[[#This Row],[Cost (k€)]]*Software_Cloud_CostMethod[[#This Row],[Emission Factor (kgCO2e / k€)]]</f>
        <v>0</v>
      </c>
    </row>
    <row r="55" spans="2:8" ht="15" customHeight="1">
      <c r="B55" s="242" t="s">
        <v>314</v>
      </c>
      <c r="C55" s="242"/>
      <c r="D55" s="297"/>
      <c r="E55" s="250"/>
      <c r="F55" s="244"/>
      <c r="G55" s="246">
        <f>'3.2 Emission Factors'!$G$89</f>
        <v>75</v>
      </c>
      <c r="H55" s="246">
        <f>Software_Cloud_CostMethod[[#This Row],[Cost (k€)]]*Software_Cloud_CostMethod[[#This Row],[Emission Factor (kgCO2e / k€)]]</f>
        <v>0</v>
      </c>
    </row>
    <row r="56" spans="2:8" ht="15" customHeight="1">
      <c r="B56" s="242" t="s">
        <v>315</v>
      </c>
      <c r="C56" s="242"/>
      <c r="D56" s="297"/>
      <c r="E56" s="250"/>
      <c r="F56" s="244"/>
      <c r="G56" s="246">
        <f>'3.2 Emission Factors'!$G$89</f>
        <v>75</v>
      </c>
      <c r="H56" s="246">
        <f>Software_Cloud_CostMethod[[#This Row],[Cost (k€)]]*Software_Cloud_CostMethod[[#This Row],[Emission Factor (kgCO2e / k€)]]</f>
        <v>0</v>
      </c>
    </row>
    <row r="57" spans="2:8" ht="15" customHeight="1">
      <c r="B57" s="242" t="s">
        <v>316</v>
      </c>
      <c r="C57" s="242"/>
      <c r="D57" s="297"/>
      <c r="E57" s="250"/>
      <c r="F57" s="244"/>
      <c r="G57" s="246">
        <f>'3.2 Emission Factors'!$G$89</f>
        <v>75</v>
      </c>
      <c r="H57" s="246">
        <f>Software_Cloud_CostMethod[[#This Row],[Cost (k€)]]*Software_Cloud_CostMethod[[#This Row],[Emission Factor (kgCO2e / k€)]]</f>
        <v>0</v>
      </c>
    </row>
    <row r="58" spans="2:8" ht="15" customHeight="1">
      <c r="B58" s="242" t="s">
        <v>317</v>
      </c>
      <c r="C58" s="242"/>
      <c r="D58" s="297"/>
      <c r="E58" s="250"/>
      <c r="F58" s="244"/>
      <c r="G58" s="246">
        <f>'3.2 Emission Factors'!$G$89</f>
        <v>75</v>
      </c>
      <c r="H58" s="246">
        <f>Software_Cloud_CostMethod[[#This Row],[Cost (k€)]]*Software_Cloud_CostMethod[[#This Row],[Emission Factor (kgCO2e / k€)]]</f>
        <v>0</v>
      </c>
    </row>
    <row r="59" spans="2:8" ht="15" customHeight="1">
      <c r="B59" s="242" t="s">
        <v>318</v>
      </c>
      <c r="C59" s="242"/>
      <c r="D59" s="297"/>
      <c r="E59" s="250"/>
      <c r="F59" s="244"/>
      <c r="G59" s="246">
        <f>'3.2 Emission Factors'!$G$89</f>
        <v>75</v>
      </c>
      <c r="H59" s="246">
        <f>Software_Cloud_CostMethod[[#This Row],[Cost (k€)]]*Software_Cloud_CostMethod[[#This Row],[Emission Factor (kgCO2e / k€)]]</f>
        <v>0</v>
      </c>
    </row>
    <row r="60" spans="2:8" ht="15" customHeight="1">
      <c r="B60" s="242" t="s">
        <v>319</v>
      </c>
      <c r="C60" s="242"/>
      <c r="D60" s="297"/>
      <c r="E60" s="250"/>
      <c r="F60" s="244"/>
      <c r="G60" s="246">
        <f>'3.2 Emission Factors'!$G$89</f>
        <v>75</v>
      </c>
      <c r="H60" s="246">
        <f>Software_Cloud_CostMethod[[#This Row],[Cost (k€)]]*Software_Cloud_CostMethod[[#This Row],[Emission Factor (kgCO2e / k€)]]</f>
        <v>0</v>
      </c>
    </row>
    <row r="61" spans="2:8" ht="15" customHeight="1">
      <c r="B61" s="242" t="s">
        <v>320</v>
      </c>
      <c r="C61" s="242"/>
      <c r="D61" s="297"/>
      <c r="E61" s="250"/>
      <c r="F61" s="244"/>
      <c r="G61" s="246">
        <f>'3.2 Emission Factors'!$G$89</f>
        <v>75</v>
      </c>
      <c r="H61" s="246">
        <f>Software_Cloud_CostMethod[[#This Row],[Cost (k€)]]*Software_Cloud_CostMethod[[#This Row],[Emission Factor (kgCO2e / k€)]]</f>
        <v>0</v>
      </c>
    </row>
    <row r="1670" spans="12:12" ht="14.45">
      <c r="L1670" s="3">
        <v>214.60473519892986</v>
      </c>
    </row>
    <row r="1671" spans="12:12" ht="14.45">
      <c r="L1671" s="3">
        <v>238.80926206394952</v>
      </c>
    </row>
    <row r="1672" spans="12:12" ht="14.45">
      <c r="L1672" s="3">
        <v>1040.3382150540961</v>
      </c>
    </row>
    <row r="1673" spans="12:12" ht="14.45">
      <c r="L1673" s="3">
        <v>12.175446888544521</v>
      </c>
    </row>
    <row r="1674" spans="12:12" ht="14.45">
      <c r="L1674" s="3">
        <v>187.87527536514079</v>
      </c>
    </row>
    <row r="1675" spans="12:12" ht="14.45">
      <c r="L1675" s="3">
        <v>22.71769606159372</v>
      </c>
    </row>
    <row r="1676" spans="12:12" ht="14.45">
      <c r="L1676" s="3">
        <v>177.6565177308766</v>
      </c>
    </row>
    <row r="1677" spans="12:12" ht="14.45">
      <c r="L1677" s="3">
        <v>112.05156946226725</v>
      </c>
    </row>
    <row r="1678" spans="12:12" ht="14.45">
      <c r="L1678" s="3">
        <v>29.118443355532335</v>
      </c>
    </row>
    <row r="1679" spans="12:12" ht="14.45">
      <c r="L1679" s="3">
        <v>2623.6698285208963</v>
      </c>
    </row>
    <row r="1680" spans="12:12" ht="14.45">
      <c r="L1680" s="3">
        <v>12.878143925104157</v>
      </c>
    </row>
    <row r="1681" spans="12:12" ht="14.45">
      <c r="L1681" s="3">
        <v>118.33706295590434</v>
      </c>
    </row>
    <row r="1682" spans="12:12" ht="14.45">
      <c r="L1682" s="3">
        <v>68.646007030188571</v>
      </c>
    </row>
    <row r="1683" spans="12:12" ht="14.45">
      <c r="L1683" s="3">
        <v>7.375068922589664</v>
      </c>
    </row>
    <row r="1684" spans="12:12" ht="14.45">
      <c r="L1684" s="3">
        <v>16.13738379045019</v>
      </c>
    </row>
    <row r="1685" spans="12:12" ht="14.45">
      <c r="L1685" s="3">
        <v>28.226804705657848</v>
      </c>
    </row>
    <row r="1686" spans="12:12" ht="14.45">
      <c r="L1686" s="3">
        <v>230.80125923509181</v>
      </c>
    </row>
    <row r="1687" spans="12:12" ht="14.45">
      <c r="L1687" s="3">
        <v>112.47122409572134</v>
      </c>
    </row>
    <row r="1688" spans="12:12" ht="14.45">
      <c r="L1688" s="3">
        <v>222.06597554920552</v>
      </c>
    </row>
    <row r="1689" spans="12:12" ht="14.45">
      <c r="L1689" s="3">
        <v>47.797947281092384</v>
      </c>
    </row>
    <row r="1690" spans="12:12" ht="14.45">
      <c r="L1690" s="3">
        <v>28.90690762868774</v>
      </c>
    </row>
    <row r="1691" spans="12:12" ht="14.45">
      <c r="L1691" s="3">
        <v>288.4879209626551</v>
      </c>
    </row>
    <row r="1692" spans="12:12" ht="14.45">
      <c r="L1692" s="3">
        <v>423.90612909457838</v>
      </c>
    </row>
    <row r="1693" spans="12:12" ht="14.45">
      <c r="L1693" s="3">
        <v>28.723936396234897</v>
      </c>
    </row>
    <row r="1694" spans="12:12" ht="14.45">
      <c r="L1694" s="3">
        <v>2244.0700965380238</v>
      </c>
    </row>
    <row r="1695" spans="12:12" ht="14.45">
      <c r="L1695" s="3">
        <v>475.54130846624025</v>
      </c>
    </row>
    <row r="1696" spans="12:12" ht="14.45">
      <c r="L1696" s="3">
        <v>167.0072217170914</v>
      </c>
    </row>
    <row r="1697" spans="12:12" ht="14.45">
      <c r="L1697" s="3">
        <v>45.540678132730605</v>
      </c>
    </row>
    <row r="1698" spans="12:12" ht="14.45">
      <c r="L1698" s="3">
        <v>1067.364548410003</v>
      </c>
    </row>
    <row r="1699" spans="12:12" ht="14.45">
      <c r="L1699" s="3">
        <v>132.69841269841265</v>
      </c>
    </row>
    <row r="1700" spans="12:12" ht="14.45">
      <c r="L1700" s="3">
        <v>78.797582944998993</v>
      </c>
    </row>
    <row r="1701" spans="12:12" ht="14.45">
      <c r="L1701" s="3">
        <v>89.220257205690274</v>
      </c>
    </row>
    <row r="1702" spans="12:12" ht="14.45">
      <c r="L1702" s="3">
        <v>3.5875793116479038</v>
      </c>
    </row>
    <row r="1703" spans="12:12" ht="14.45">
      <c r="L1703" s="3">
        <v>96.585067428823209</v>
      </c>
    </row>
    <row r="1704" spans="12:12" ht="14.45">
      <c r="L1704" s="3">
        <v>2895.8201130494576</v>
      </c>
    </row>
    <row r="1705" spans="12:12" ht="14.45">
      <c r="L1705" s="3">
        <v>20.69368964924746</v>
      </c>
    </row>
    <row r="1706" spans="12:12" ht="14.45">
      <c r="L1706" s="3">
        <v>284.60317460317469</v>
      </c>
    </row>
    <row r="1707" spans="12:12" ht="14.45">
      <c r="L1707" s="3">
        <v>3.4920634920634921</v>
      </c>
    </row>
    <row r="1708" spans="12:12" ht="14.45">
      <c r="L1708" s="3">
        <v>47.616955610606375</v>
      </c>
    </row>
    <row r="1709" spans="12:12" ht="14.45">
      <c r="L1709" s="3">
        <v>60.71331727768974</v>
      </c>
    </row>
    <row r="1710" spans="12:12" ht="14.45">
      <c r="L1710" s="3">
        <v>370.15873015873007</v>
      </c>
    </row>
    <row r="1711" spans="12:12" ht="14.45">
      <c r="L1711" s="3">
        <v>0</v>
      </c>
    </row>
    <row r="1712" spans="12:12" ht="14.45">
      <c r="L1712" s="3">
        <v>6.9841269841269842</v>
      </c>
    </row>
    <row r="1713" spans="12:12" ht="14.45">
      <c r="L1713" s="3">
        <v>0</v>
      </c>
    </row>
    <row r="1714" spans="12:12" ht="14.45">
      <c r="L1714" s="3">
        <v>4.3650793650793647</v>
      </c>
    </row>
    <row r="1715" spans="12:12" ht="14.45">
      <c r="L1715" s="3">
        <v>96.126101641272854</v>
      </c>
    </row>
    <row r="1716" spans="12:12" ht="14.45">
      <c r="L1716" s="3">
        <v>17.460317460317459</v>
      </c>
    </row>
    <row r="1717" spans="12:12" ht="14.45">
      <c r="L1717" s="3">
        <v>55.873015873015873</v>
      </c>
    </row>
    <row r="1718" spans="12:12" ht="14.45">
      <c r="L1718" s="3">
        <v>251.42857142857139</v>
      </c>
    </row>
    <row r="1719" spans="12:12" ht="14.45">
      <c r="L1719" s="3">
        <v>6.9841269841269842</v>
      </c>
    </row>
    <row r="1720" spans="12:12" ht="14.45">
      <c r="L1720" s="3">
        <v>3.4920634920634921</v>
      </c>
    </row>
    <row r="1721" spans="12:12" ht="14.45">
      <c r="L1721" s="3">
        <v>41.904761904761898</v>
      </c>
    </row>
    <row r="1722" spans="12:12" ht="14.45">
      <c r="L1722" s="3">
        <v>12.222222222222221</v>
      </c>
    </row>
    <row r="1723" spans="12:12" ht="14.45">
      <c r="L1723" s="3">
        <v>670.47619047619025</v>
      </c>
    </row>
    <row r="1724" spans="12:12" ht="14.45">
      <c r="L1724" s="3">
        <v>57.619047619047606</v>
      </c>
    </row>
    <row r="1725" spans="12:12" ht="14.45">
      <c r="L1725" s="3">
        <v>4.3650793650793647</v>
      </c>
    </row>
    <row r="1726" spans="12:12" ht="14.45">
      <c r="L1726" s="3">
        <v>111.74603174603175</v>
      </c>
    </row>
    <row r="1727" spans="12:12" ht="14.45">
      <c r="L1727" s="3">
        <v>14.841269841269838</v>
      </c>
    </row>
    <row r="1728" spans="12:12" ht="14.45">
      <c r="L1728" s="3">
        <v>20.952380952380949</v>
      </c>
    </row>
    <row r="1729" spans="12:12" ht="14.45">
      <c r="L1729" s="3">
        <v>85.555555555555557</v>
      </c>
    </row>
    <row r="1730" spans="12:12" ht="14.45">
      <c r="L1730" s="3">
        <v>10.476190476190474</v>
      </c>
    </row>
    <row r="1731" spans="12:12" ht="14.45">
      <c r="L1731" s="3">
        <v>34.920634920634924</v>
      </c>
    </row>
    <row r="1732" spans="12:12" ht="14.45">
      <c r="L1732" s="3">
        <v>13.968253968253968</v>
      </c>
    </row>
    <row r="1733" spans="12:12" ht="14.45">
      <c r="L1733" s="3">
        <v>584.43476007848483</v>
      </c>
    </row>
    <row r="1734" spans="12:12" ht="14.45">
      <c r="L1734" s="3">
        <v>11.349206349206348</v>
      </c>
    </row>
    <row r="1735" spans="12:12" ht="14.45">
      <c r="L1735" s="3">
        <v>768.25396825396831</v>
      </c>
    </row>
    <row r="1736" spans="12:12" ht="14.45">
      <c r="L1736" s="3">
        <v>1.746031746031746</v>
      </c>
    </row>
    <row r="1737" spans="12:12" ht="14.45">
      <c r="L1737" s="3">
        <v>474.92063492063471</v>
      </c>
    </row>
    <row r="1738" spans="12:12" ht="14.45">
      <c r="L1738" s="3">
        <v>62.857142857142847</v>
      </c>
    </row>
    <row r="1739" spans="12:12" ht="14.45">
      <c r="L1739" s="3">
        <v>34.920634920634917</v>
      </c>
    </row>
    <row r="1740" spans="12:12" ht="14.45">
      <c r="L1740" s="3">
        <v>20.952380952380949</v>
      </c>
    </row>
    <row r="1741" spans="12:12" ht="14.45">
      <c r="L1741" s="3">
        <v>8.7301587301587293</v>
      </c>
    </row>
    <row r="1742" spans="12:12" ht="14.45">
      <c r="L1742" s="3">
        <v>3.4920634920634921</v>
      </c>
    </row>
    <row r="1743" spans="12:12" ht="14.45">
      <c r="L1743" s="3">
        <v>6.9841269841269842</v>
      </c>
    </row>
    <row r="1744" spans="12:12" ht="14.45">
      <c r="L1744" s="3">
        <v>6.9841269841269842</v>
      </c>
    </row>
    <row r="1745" spans="12:12" ht="14.45">
      <c r="L1745" s="3">
        <v>6.9841269841269842</v>
      </c>
    </row>
  </sheetData>
  <phoneticPr fontId="13" type="noConversion"/>
  <conditionalFormatting sqref="P15:P25">
    <cfRule type="cellIs" dxfId="535" priority="4" operator="equal">
      <formula>0</formula>
    </cfRule>
  </conditionalFormatting>
  <conditionalFormatting sqref="P36:P46">
    <cfRule type="cellIs" dxfId="534" priority="2" operator="equal">
      <formula>0</formula>
    </cfRule>
  </conditionalFormatting>
  <conditionalFormatting sqref="T15:V25">
    <cfRule type="cellIs" dxfId="533" priority="3" operator="equal">
      <formula>0</formula>
    </cfRule>
  </conditionalFormatting>
  <conditionalFormatting sqref="T36:V46">
    <cfRule type="cellIs" dxfId="532" priority="1" operator="equal">
      <formula>0</formula>
    </cfRule>
  </conditionalFormatting>
  <pageMargins left="0.7" right="0.7" top="0.75" bottom="0.75" header="0.3" footer="0.3"/>
  <drawing r:id="rId1"/>
  <tableParts count="3">
    <tablePart r:id="rId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707E03-B371-41BC-AA70-E8D74AE2FBA5}">
          <x14:formula1>
            <xm:f>'3.1 Electricity mix'!$B$5:$B$142</xm:f>
          </x14:formula1>
          <xm:sqref>G15:G25 G36:G46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3D60-FE25-450B-9B8C-F9E339C174BC}">
  <sheetPr>
    <tabColor theme="9" tint="0.79998168889431442"/>
  </sheetPr>
  <dimension ref="A2:K29"/>
  <sheetViews>
    <sheetView showGridLines="0" topLeftCell="A4" zoomScale="40" zoomScaleNormal="40" workbookViewId="0">
      <selection activeCell="B16" sqref="B16"/>
    </sheetView>
  </sheetViews>
  <sheetFormatPr defaultColWidth="8.85546875" defaultRowHeight="14.45"/>
  <cols>
    <col min="1" max="1" width="43.140625" style="3" bestFit="1" customWidth="1"/>
    <col min="2" max="2" width="32.28515625" style="3" customWidth="1"/>
    <col min="3" max="3" width="25" style="3" customWidth="1"/>
    <col min="4" max="4" width="27.140625" style="3" customWidth="1"/>
    <col min="5" max="5" width="20.42578125" style="3" customWidth="1"/>
    <col min="6" max="6" width="28" style="3" customWidth="1"/>
    <col min="7" max="7" width="28.140625" style="3" customWidth="1"/>
    <col min="8" max="8" width="23.85546875" style="3" customWidth="1"/>
    <col min="9" max="9" width="22.42578125" style="3" customWidth="1"/>
    <col min="10" max="10" width="26.85546875" style="3" customWidth="1"/>
    <col min="11" max="11" width="23.42578125" style="3" customWidth="1"/>
    <col min="12" max="12" width="27.140625" style="3" customWidth="1"/>
    <col min="13" max="16384" width="8.85546875" style="3"/>
  </cols>
  <sheetData>
    <row r="2" spans="1:11" ht="15.6">
      <c r="A2" s="225" t="s">
        <v>216</v>
      </c>
    </row>
    <row r="3" spans="1:11" ht="15.6">
      <c r="B3" s="226" t="s">
        <v>217</v>
      </c>
    </row>
    <row r="4" spans="1:11" ht="29.1">
      <c r="B4" s="227" t="s">
        <v>228</v>
      </c>
    </row>
    <row r="5" spans="1:11" ht="29.1">
      <c r="B5" s="224" t="s">
        <v>219</v>
      </c>
    </row>
    <row r="6" spans="1:11" ht="29.1">
      <c r="B6" s="228" t="s">
        <v>220</v>
      </c>
    </row>
    <row r="7" spans="1:11" ht="29.1">
      <c r="B7" s="229" t="s">
        <v>229</v>
      </c>
    </row>
    <row r="8" spans="1:11">
      <c r="B8" s="165" t="s">
        <v>221</v>
      </c>
    </row>
    <row r="12" spans="1:11" ht="21.95" customHeight="1">
      <c r="A12" s="98" t="s">
        <v>321</v>
      </c>
    </row>
    <row r="13" spans="1:11" ht="29.1">
      <c r="B13" s="65" t="s">
        <v>322</v>
      </c>
      <c r="C13" s="65" t="s">
        <v>323</v>
      </c>
      <c r="D13" s="65" t="s">
        <v>324</v>
      </c>
      <c r="E13" s="65" t="s">
        <v>325</v>
      </c>
      <c r="F13" s="251" t="s">
        <v>326</v>
      </c>
      <c r="G13" s="252" t="s">
        <v>327</v>
      </c>
      <c r="H13" s="252" t="s">
        <v>190</v>
      </c>
      <c r="I13" s="253" t="s">
        <v>328</v>
      </c>
      <c r="J13" s="253" t="s">
        <v>329</v>
      </c>
      <c r="K13" s="65" t="s">
        <v>288</v>
      </c>
    </row>
    <row r="14" spans="1:11">
      <c r="B14" s="262" t="s">
        <v>330</v>
      </c>
      <c r="C14" s="262"/>
      <c r="D14" s="302"/>
      <c r="E14" s="302"/>
      <c r="F14" s="300">
        <v>135</v>
      </c>
      <c r="G14" s="264"/>
      <c r="H14" s="265"/>
      <c r="I14" s="254">
        <f>'3.2 Emission Factors'!$G$97</f>
        <v>4890.1800327587998</v>
      </c>
      <c r="J14" s="254">
        <f>'3.2 Emission Factors'!$G$96</f>
        <v>35.523203526800309</v>
      </c>
      <c r="K14" s="255">
        <f>External_TM[[#This Row],[T&amp;M (in FTE)]]*External_TM[[#This Row],[FTE emission factor (kgCO2e / unit)]]+External_TM[[#This Row],[Fixed Price (in k€)]]*External_TM[[#This Row],[Cost emission factor (kgCO2e/k€)]]</f>
        <v>660174.30442243803</v>
      </c>
    </row>
    <row r="15" spans="1:11">
      <c r="B15" s="262" t="s">
        <v>330</v>
      </c>
      <c r="C15" s="262"/>
      <c r="D15" s="302"/>
      <c r="E15" s="302"/>
      <c r="F15" s="300">
        <v>3</v>
      </c>
      <c r="G15" s="264"/>
      <c r="H15" s="265"/>
      <c r="I15" s="256">
        <f>'3.2 Emission Factors'!$G$97</f>
        <v>4890.1800327587998</v>
      </c>
      <c r="J15" s="256">
        <f>'3.2 Emission Factors'!$G$96</f>
        <v>35.523203526800309</v>
      </c>
      <c r="K15" s="257">
        <f>External_TM[[#This Row],[T&amp;M (in FTE)]]*External_TM[[#This Row],[FTE emission factor (kgCO2e / unit)]]+External_TM[[#This Row],[Fixed Price (in k€)]]*External_TM[[#This Row],[Cost emission factor (kgCO2e/k€)]]</f>
        <v>14670.5400982764</v>
      </c>
    </row>
    <row r="16" spans="1:11">
      <c r="B16" s="262" t="s">
        <v>331</v>
      </c>
      <c r="C16" s="262"/>
      <c r="D16" s="302"/>
      <c r="E16" s="302"/>
      <c r="F16" s="300">
        <v>1</v>
      </c>
      <c r="G16" s="264"/>
      <c r="H16" s="265"/>
      <c r="I16" s="256">
        <f>'3.2 Emission Factors'!$G$97</f>
        <v>4890.1800327587998</v>
      </c>
      <c r="J16" s="256">
        <f>'3.2 Emission Factors'!$G$96</f>
        <v>35.523203526800309</v>
      </c>
      <c r="K16" s="257">
        <f>External_TM[[#This Row],[T&amp;M (in FTE)]]*External_TM[[#This Row],[FTE emission factor (kgCO2e / unit)]]+External_TM[[#This Row],[Fixed Price (in k€)]]*External_TM[[#This Row],[Cost emission factor (kgCO2e/k€)]]</f>
        <v>4890.1800327587998</v>
      </c>
    </row>
    <row r="17" spans="1:11">
      <c r="B17" s="262" t="s">
        <v>332</v>
      </c>
      <c r="C17" s="262"/>
      <c r="D17" s="302"/>
      <c r="E17" s="302"/>
      <c r="F17" s="300">
        <v>2</v>
      </c>
      <c r="G17" s="264"/>
      <c r="H17" s="265"/>
      <c r="I17" s="256">
        <f>'3.2 Emission Factors'!$G$97</f>
        <v>4890.1800327587998</v>
      </c>
      <c r="J17" s="256">
        <f>'3.2 Emission Factors'!$G$96</f>
        <v>35.523203526800309</v>
      </c>
      <c r="K17" s="257">
        <f>External_TM[[#This Row],[T&amp;M (in FTE)]]*External_TM[[#This Row],[FTE emission factor (kgCO2e / unit)]]+External_TM[[#This Row],[Fixed Price (in k€)]]*External_TM[[#This Row],[Cost emission factor (kgCO2e/k€)]]</f>
        <v>9780.3600655175997</v>
      </c>
    </row>
    <row r="18" spans="1:11">
      <c r="B18" s="262" t="s">
        <v>333</v>
      </c>
      <c r="C18" s="266"/>
      <c r="D18" s="303"/>
      <c r="E18" s="303"/>
      <c r="F18" s="301"/>
      <c r="G18" s="267">
        <v>865</v>
      </c>
      <c r="H18" s="268"/>
      <c r="I18" s="258">
        <f>'3.2 Emission Factors'!$G$97</f>
        <v>4890.1800327587998</v>
      </c>
      <c r="J18" s="258">
        <f>'3.2 Emission Factors'!$G$96</f>
        <v>35.523203526800309</v>
      </c>
      <c r="K18" s="259">
        <f>External_TM[[#This Row],[T&amp;M (in FTE)]]*External_TM[[#This Row],[FTE emission factor (kgCO2e / unit)]]+External_TM[[#This Row],[Fixed Price (in k€)]]*External_TM[[#This Row],[Cost emission factor (kgCO2e/k€)]]</f>
        <v>30727.571050682269</v>
      </c>
    </row>
    <row r="21" spans="1:11" s="40" customFormat="1">
      <c r="A21" s="29"/>
      <c r="B21" s="29"/>
      <c r="C21" s="29"/>
      <c r="D21" s="29"/>
      <c r="E21" s="29"/>
      <c r="F21" s="29"/>
      <c r="G21" s="29"/>
      <c r="H21" s="29"/>
      <c r="I21" s="29"/>
      <c r="J21" s="29"/>
      <c r="K21" s="29"/>
    </row>
    <row r="22" spans="1:11" ht="42">
      <c r="A22" s="98" t="s">
        <v>334</v>
      </c>
    </row>
    <row r="23" spans="1:11" ht="15.6">
      <c r="A23" s="103"/>
    </row>
    <row r="24" spans="1:11" ht="29.1">
      <c r="B24" s="240" t="s">
        <v>322</v>
      </c>
      <c r="C24" s="240" t="s">
        <v>323</v>
      </c>
      <c r="D24" s="240" t="s">
        <v>324</v>
      </c>
      <c r="E24" s="240" t="s">
        <v>325</v>
      </c>
      <c r="F24" s="260" t="s">
        <v>327</v>
      </c>
      <c r="G24" s="261" t="s">
        <v>190</v>
      </c>
      <c r="H24" s="253" t="s">
        <v>329</v>
      </c>
      <c r="I24" s="65" t="s">
        <v>288</v>
      </c>
    </row>
    <row r="25" spans="1:11" ht="15.6">
      <c r="A25" s="103"/>
      <c r="B25" s="269" t="s">
        <v>335</v>
      </c>
      <c r="C25" s="269"/>
      <c r="D25" s="304"/>
      <c r="E25" s="304"/>
      <c r="F25" s="269">
        <v>865</v>
      </c>
      <c r="G25" s="270"/>
      <c r="H25" s="254">
        <f>'3.2 Emission Factors'!$G$96</f>
        <v>35.523203526800309</v>
      </c>
      <c r="I25" s="255">
        <f>External_Fixed_Prices[[#This Row],[Fixed Price (in k€)]]*External_Fixed_Prices[[#This Row],[Cost emission factor (kgCO2e/k€)]]</f>
        <v>30727.571050682269</v>
      </c>
    </row>
    <row r="26" spans="1:11">
      <c r="B26" s="269" t="s">
        <v>336</v>
      </c>
      <c r="C26" s="269"/>
      <c r="D26" s="304"/>
      <c r="E26" s="304"/>
      <c r="F26" s="269">
        <v>9</v>
      </c>
      <c r="G26" s="270"/>
      <c r="H26" s="256">
        <f>'3.2 Emission Factors'!$G$96</f>
        <v>35.523203526800309</v>
      </c>
      <c r="I26" s="257">
        <f>External_Fixed_Prices[[#This Row],[Fixed Price (in k€)]]*External_Fixed_Prices[[#This Row],[Cost emission factor (kgCO2e/k€)]]</f>
        <v>319.7088317412028</v>
      </c>
    </row>
    <row r="27" spans="1:11">
      <c r="B27" s="269" t="s">
        <v>337</v>
      </c>
      <c r="C27" s="269"/>
      <c r="D27" s="304"/>
      <c r="E27" s="304"/>
      <c r="F27" s="269">
        <v>1</v>
      </c>
      <c r="G27" s="270"/>
      <c r="H27" s="256">
        <f>'3.2 Emission Factors'!$G$96</f>
        <v>35.523203526800309</v>
      </c>
      <c r="I27" s="257">
        <f>External_Fixed_Prices[[#This Row],[Fixed Price (in k€)]]*External_Fixed_Prices[[#This Row],[Cost emission factor (kgCO2e/k€)]]</f>
        <v>35.523203526800309</v>
      </c>
    </row>
    <row r="28" spans="1:11">
      <c r="B28" s="269" t="s">
        <v>338</v>
      </c>
      <c r="C28" s="269"/>
      <c r="D28" s="304"/>
      <c r="E28" s="304"/>
      <c r="F28" s="269">
        <v>2</v>
      </c>
      <c r="G28" s="270"/>
      <c r="H28" s="256">
        <f>'3.2 Emission Factors'!$G$96</f>
        <v>35.523203526800309</v>
      </c>
      <c r="I28" s="257">
        <f>External_Fixed_Prices[[#This Row],[Fixed Price (in k€)]]*External_Fixed_Prices[[#This Row],[Cost emission factor (kgCO2e/k€)]]</f>
        <v>71.046407053600618</v>
      </c>
    </row>
    <row r="29" spans="1:11">
      <c r="B29" s="269" t="s">
        <v>339</v>
      </c>
      <c r="C29" s="269"/>
      <c r="D29" s="304"/>
      <c r="E29" s="304"/>
      <c r="F29" s="269">
        <v>3</v>
      </c>
      <c r="G29" s="270"/>
      <c r="H29" s="258">
        <f>'3.2 Emission Factors'!$G$96</f>
        <v>35.523203526800309</v>
      </c>
      <c r="I29" s="259">
        <f>External_Fixed_Prices[[#This Row],[Fixed Price (in k€)]]*External_Fixed_Prices[[#This Row],[Cost emission factor (kgCO2e/k€)]]</f>
        <v>106.56961058040093</v>
      </c>
    </row>
  </sheetData>
  <phoneticPr fontId="13" type="noConversion"/>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7C16-0024-4153-9226-1B68F54D5EAC}">
  <sheetPr>
    <tabColor theme="9" tint="0.79998168889431442"/>
  </sheetPr>
  <dimension ref="A2:H19"/>
  <sheetViews>
    <sheetView showGridLines="0" topLeftCell="A3" zoomScale="70" zoomScaleNormal="70" workbookViewId="0">
      <selection activeCell="C6" sqref="C6"/>
    </sheetView>
  </sheetViews>
  <sheetFormatPr defaultColWidth="8.85546875" defaultRowHeight="14.45"/>
  <cols>
    <col min="1" max="1" width="36" style="3" customWidth="1"/>
    <col min="2" max="2" width="35.140625" style="3" customWidth="1"/>
    <col min="3" max="3" width="18.42578125" style="3" customWidth="1"/>
    <col min="4" max="4" width="27.140625" style="3" customWidth="1"/>
    <col min="5" max="5" width="63.140625" style="3" customWidth="1"/>
    <col min="6" max="6" width="26.85546875" style="3" customWidth="1"/>
    <col min="7" max="7" width="30.5703125" style="3" customWidth="1"/>
    <col min="8" max="8" width="30.42578125" style="3" customWidth="1"/>
    <col min="9" max="16384" width="8.85546875" style="3"/>
  </cols>
  <sheetData>
    <row r="2" spans="1:7" ht="15.6">
      <c r="A2" s="225" t="s">
        <v>216</v>
      </c>
    </row>
    <row r="3" spans="1:7" ht="15.6">
      <c r="B3" s="226" t="s">
        <v>217</v>
      </c>
    </row>
    <row r="4" spans="1:7" ht="29.1">
      <c r="B4" s="227" t="s">
        <v>228</v>
      </c>
    </row>
    <row r="5" spans="1:7" ht="29.1">
      <c r="B5" s="224" t="s">
        <v>219</v>
      </c>
    </row>
    <row r="6" spans="1:7" ht="29.1">
      <c r="B6" s="228" t="s">
        <v>220</v>
      </c>
    </row>
    <row r="7" spans="1:7" ht="29.1">
      <c r="B7" s="229" t="s">
        <v>229</v>
      </c>
    </row>
    <row r="8" spans="1:7">
      <c r="B8" s="165" t="s">
        <v>221</v>
      </c>
    </row>
    <row r="12" spans="1:7" ht="42">
      <c r="A12" s="98" t="s">
        <v>340</v>
      </c>
    </row>
    <row r="13" spans="1:7">
      <c r="B13" s="65" t="s">
        <v>341</v>
      </c>
      <c r="C13" s="65" t="s">
        <v>342</v>
      </c>
      <c r="D13" s="65" t="s">
        <v>190</v>
      </c>
      <c r="E13" s="104" t="s">
        <v>249</v>
      </c>
      <c r="F13" s="104" t="s">
        <v>343</v>
      </c>
      <c r="G13" s="105" t="s">
        <v>254</v>
      </c>
    </row>
    <row r="14" spans="1:7">
      <c r="B14" s="271" t="s">
        <v>344</v>
      </c>
      <c r="C14" s="262">
        <v>2059547</v>
      </c>
      <c r="D14" s="272"/>
      <c r="E14" s="107" t="s">
        <v>345</v>
      </c>
      <c r="F14" s="107">
        <f>VLOOKUP(Travel[[#This Row],[Emission Factor]],Tableau36[[Name]:[Emissions]],5,FALSE)</f>
        <v>0.187</v>
      </c>
      <c r="G14" s="127">
        <f>Travel[[#This Row],[Emissions (kgCO2e/km)]]*Travel[[#This Row],[Number of km]]</f>
        <v>385135.28899999999</v>
      </c>
    </row>
    <row r="15" spans="1:7">
      <c r="B15" s="273" t="s">
        <v>346</v>
      </c>
      <c r="C15" s="262"/>
      <c r="D15" s="272"/>
      <c r="E15" s="107" t="s">
        <v>347</v>
      </c>
      <c r="F15" s="107">
        <f>VLOOKUP(Travel[[#This Row],[Emission Factor]],Tableau36[[Name]:[Emissions]],5,FALSE)</f>
        <v>0.14399999999999999</v>
      </c>
      <c r="G15" s="127">
        <f>Travel[[#This Row],[Emissions (kgCO2e/km)]]*Travel[[#This Row],[Number of km]]</f>
        <v>0</v>
      </c>
    </row>
    <row r="16" spans="1:7">
      <c r="B16" s="273" t="s">
        <v>348</v>
      </c>
      <c r="C16" s="262">
        <v>38014</v>
      </c>
      <c r="D16" s="272"/>
      <c r="E16" s="107" t="s">
        <v>349</v>
      </c>
      <c r="F16" s="107">
        <f>VLOOKUP(Travel[[#This Row],[Emission Factor]],Tableau36[[Name]:[Emissions]],5,FALSE)</f>
        <v>2.9299999999999999E-3</v>
      </c>
      <c r="G16" s="127">
        <f>Travel[[#This Row],[Emissions (kgCO2e/km)]]*Travel[[#This Row],[Number of km]]</f>
        <v>111.38101999999999</v>
      </c>
    </row>
    <row r="19" spans="2:8" s="40" customFormat="1">
      <c r="B19" s="29"/>
      <c r="C19" s="29"/>
      <c r="D19" s="29"/>
      <c r="E19" s="29"/>
      <c r="F19" s="29"/>
      <c r="G19" s="29"/>
      <c r="H19" s="29"/>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D8110E3-FB9D-40BA-9074-8FA6F84A299E}">
          <x14:formula1>
            <xm:f>'3.2 Emission Factors'!$C$108:$C$115</xm:f>
          </x14:formula1>
          <xm:sqref>E14:E16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792AA-F66A-4D3E-8BF1-CD52DC75B753}">
  <sheetPr>
    <tabColor theme="9" tint="0.79998168889431442"/>
  </sheetPr>
  <dimension ref="A2:Q1762"/>
  <sheetViews>
    <sheetView showGridLines="0" zoomScale="40" zoomScaleNormal="40" workbookViewId="0">
      <selection activeCell="B39" sqref="B39"/>
    </sheetView>
  </sheetViews>
  <sheetFormatPr defaultColWidth="8.85546875" defaultRowHeight="15" customHeight="1"/>
  <cols>
    <col min="1" max="1" width="67.5703125" style="3" customWidth="1"/>
    <col min="2" max="2" width="49.85546875" style="3" customWidth="1"/>
    <col min="3" max="3" width="26.85546875" style="3" customWidth="1"/>
    <col min="4" max="4" width="26.140625" style="3" customWidth="1"/>
    <col min="5" max="5" width="26.5703125" style="3" customWidth="1"/>
    <col min="6" max="6" width="22.5703125" style="3" customWidth="1"/>
    <col min="7" max="7" width="32.5703125" style="3" customWidth="1"/>
    <col min="8" max="8" width="33.140625" style="3" customWidth="1"/>
    <col min="9" max="9" width="29" style="3" customWidth="1"/>
    <col min="10" max="10" width="24.5703125" style="3" customWidth="1"/>
    <col min="11" max="11" width="37.85546875" style="3" customWidth="1"/>
    <col min="12" max="12" width="39.42578125" style="3" customWidth="1"/>
    <col min="13" max="13" width="32" style="3" customWidth="1"/>
    <col min="14" max="14" width="36" style="3" customWidth="1"/>
    <col min="15" max="15" width="44" style="3" customWidth="1"/>
    <col min="16" max="16" width="42.140625" style="3" customWidth="1"/>
    <col min="17" max="17" width="44.85546875" style="3" customWidth="1"/>
    <col min="18" max="18" width="40.5703125" style="3" customWidth="1"/>
    <col min="19" max="19" width="27.42578125" style="3" bestFit="1" customWidth="1"/>
    <col min="20" max="20" width="32.42578125" style="3" customWidth="1"/>
    <col min="21" max="21" width="36.5703125" style="3" bestFit="1" customWidth="1"/>
    <col min="22" max="22" width="23" style="3" customWidth="1"/>
    <col min="23" max="16384" width="8.85546875" style="3"/>
  </cols>
  <sheetData>
    <row r="2" spans="1:12" ht="15" customHeight="1">
      <c r="A2" s="225" t="s">
        <v>216</v>
      </c>
    </row>
    <row r="3" spans="1:12" ht="15.6">
      <c r="B3" s="226" t="s">
        <v>217</v>
      </c>
    </row>
    <row r="4" spans="1:12" ht="29.1">
      <c r="B4" s="227" t="s">
        <v>228</v>
      </c>
    </row>
    <row r="5" spans="1:12" ht="29.1">
      <c r="B5" s="224" t="s">
        <v>219</v>
      </c>
    </row>
    <row r="6" spans="1:12" ht="29.1">
      <c r="B6" s="228" t="s">
        <v>220</v>
      </c>
    </row>
    <row r="7" spans="1:12" ht="29.1">
      <c r="B7" s="229" t="s">
        <v>229</v>
      </c>
    </row>
    <row r="8" spans="1:12" ht="14.45">
      <c r="B8" s="165" t="s">
        <v>221</v>
      </c>
    </row>
    <row r="12" spans="1:12" s="26" customFormat="1" ht="21">
      <c r="A12" s="98" t="s">
        <v>350</v>
      </c>
    </row>
    <row r="13" spans="1:12" s="26" customFormat="1" ht="14.45">
      <c r="C13" s="119"/>
      <c r="D13" s="119"/>
      <c r="E13" s="119"/>
      <c r="F13" s="119"/>
      <c r="G13" s="119"/>
      <c r="H13" s="119"/>
      <c r="I13" s="119"/>
    </row>
    <row r="14" spans="1:12" s="25" customFormat="1" ht="38.450000000000003" customHeight="1">
      <c r="B14" s="96" t="s">
        <v>245</v>
      </c>
      <c r="C14" s="96" t="s">
        <v>246</v>
      </c>
      <c r="D14" s="96" t="s">
        <v>247</v>
      </c>
      <c r="E14" s="58" t="s">
        <v>248</v>
      </c>
      <c r="F14" s="58" t="s">
        <v>249</v>
      </c>
      <c r="G14" s="58" t="s">
        <v>250</v>
      </c>
      <c r="H14" s="58" t="s">
        <v>251</v>
      </c>
      <c r="I14" s="58" t="s">
        <v>252</v>
      </c>
      <c r="J14" s="58" t="s">
        <v>253</v>
      </c>
      <c r="K14" s="58" t="s">
        <v>254</v>
      </c>
    </row>
    <row r="15" spans="1:12" s="26" customFormat="1" ht="43.5">
      <c r="B15" s="167" t="s">
        <v>351</v>
      </c>
      <c r="C15" s="230">
        <f>18700-141</f>
        <v>18559</v>
      </c>
      <c r="D15" s="234">
        <v>5</v>
      </c>
      <c r="E15" s="95">
        <f>CI_Group_Staff</f>
        <v>0.47659000000000001</v>
      </c>
      <c r="F15" s="95" t="str">
        <f>'3.2 Emission Factors'!$C$8</f>
        <v>Workstation - Laptop any screen size - ADEME 2023, Base carbone</v>
      </c>
      <c r="G15" s="95">
        <f>VLOOKUP(Non_Cyber_Workstation_Laptop[[#This Row],[Emission Factor]],Tableau3[[Name]:[Consumption (kWh/year)]],6,FALSE)</f>
        <v>29.1</v>
      </c>
      <c r="H15" s="95">
        <f>VLOOKUP(Non_Cyber_Workstation_Laptop[[#This Row],[Emission Factor]],Tableau3[[Name]:[Consumption (kWh/year)]],5,FALSE)</f>
        <v>170.3</v>
      </c>
      <c r="I15" s="95">
        <f>Non_Cyber_Workstation_Laptop[[#This Row],[Electric consumption (kWh/year/unit)]]*Non_Cyber_Workstation_Laptop[[#This Row],[Energetic mix (kgCO2e/kWh)]]*Non_Cyber_Workstation_Laptop[[#This Row],[Quantity ]]</f>
        <v>257390.483871</v>
      </c>
      <c r="J15" s="95">
        <f>Non_Cyber_Workstation_Laptop[[#This Row],[Manufacturing (kgCO2e/unit)]]*Non_Cyber_Workstation_Laptop[[#This Row],[Quantity ]]/Non_Cyber_Workstation_Laptop[[#This Row],[Lifespan]]</f>
        <v>632119.54</v>
      </c>
      <c r="K15" s="95">
        <f>Non_Cyber_Workstation_Laptop[[#This Row],[Scope 2 (kgC02e)]]+Non_Cyber_Workstation_Laptop[[#This Row],[Scope 3 (kgC02e)]]</f>
        <v>889510.02387100004</v>
      </c>
      <c r="L15" s="144"/>
    </row>
    <row r="16" spans="1:12" s="26" customFormat="1" ht="43.5">
      <c r="B16" s="167" t="s">
        <v>352</v>
      </c>
      <c r="C16" s="234">
        <v>1</v>
      </c>
      <c r="D16" s="234">
        <v>5</v>
      </c>
      <c r="E16" s="95">
        <f>CI_Group_Staff</f>
        <v>0.47659000000000001</v>
      </c>
      <c r="F16" s="95" t="str">
        <f>'3.2 Emission Factors'!$C$8</f>
        <v>Workstation - Laptop any screen size - ADEME 2023, Base carbone</v>
      </c>
      <c r="G16" s="95">
        <f>VLOOKUP(Non_Cyber_Workstation_Laptop[[#This Row],[Emission Factor]],Tableau3[[Name]:[Consumption (kWh/year)]],6,FALSE)</f>
        <v>29.1</v>
      </c>
      <c r="H16" s="95">
        <f>VLOOKUP(Non_Cyber_Workstation_Laptop[[#This Row],[Emission Factor]],Tableau3[[Name]:[Consumption (kWh/year)]],5,FALSE)</f>
        <v>170.3</v>
      </c>
      <c r="I16" s="95">
        <f>Non_Cyber_Workstation_Laptop[[#This Row],[Electric consumption (kWh/year/unit)]]*Non_Cyber_Workstation_Laptop[[#This Row],[Energetic mix (kgCO2e/kWh)]]*Non_Cyber_Workstation_Laptop[[#This Row],[Quantity ]]</f>
        <v>13.868769</v>
      </c>
      <c r="J16" s="95">
        <f>Non_Cyber_Workstation_Laptop[[#This Row],[Manufacturing (kgCO2e/unit)]]*Non_Cyber_Workstation_Laptop[[#This Row],[Quantity ]]/Non_Cyber_Workstation_Laptop[[#This Row],[Lifespan]]</f>
        <v>34.06</v>
      </c>
      <c r="K16" s="95">
        <f>Non_Cyber_Workstation_Laptop[[#This Row],[Scope 2 (kgC02e)]]+Non_Cyber_Workstation_Laptop[[#This Row],[Scope 3 (kgC02e)]]</f>
        <v>47.928769000000003</v>
      </c>
    </row>
    <row r="17" spans="1:11" s="26" customFormat="1" ht="43.5">
      <c r="B17" s="167" t="s">
        <v>353</v>
      </c>
      <c r="C17" s="234">
        <v>1</v>
      </c>
      <c r="D17" s="234">
        <v>5</v>
      </c>
      <c r="E17" s="95">
        <f>CI_Group_Staff</f>
        <v>0.47659000000000001</v>
      </c>
      <c r="F17" s="95" t="str">
        <f>'3.2 Emission Factors'!$C$8</f>
        <v>Workstation - Laptop any screen size - ADEME 2023, Base carbone</v>
      </c>
      <c r="G17" s="95">
        <f>VLOOKUP(Non_Cyber_Workstation_Laptop[[#This Row],[Emission Factor]],Tableau3[[Name]:[Consumption (kWh/year)]],6,FALSE)</f>
        <v>29.1</v>
      </c>
      <c r="H17" s="95">
        <f>VLOOKUP(Non_Cyber_Workstation_Laptop[[#This Row],[Emission Factor]],Tableau3[[Name]:[Consumption (kWh/year)]],5,FALSE)</f>
        <v>170.3</v>
      </c>
      <c r="I17" s="95">
        <f>Non_Cyber_Workstation_Laptop[[#This Row],[Electric consumption (kWh/year/unit)]]*Non_Cyber_Workstation_Laptop[[#This Row],[Energetic mix (kgCO2e/kWh)]]*Non_Cyber_Workstation_Laptop[[#This Row],[Quantity ]]</f>
        <v>13.868769</v>
      </c>
      <c r="J17" s="95">
        <f>Non_Cyber_Workstation_Laptop[[#This Row],[Manufacturing (kgCO2e/unit)]]*Non_Cyber_Workstation_Laptop[[#This Row],[Quantity ]]/Non_Cyber_Workstation_Laptop[[#This Row],[Lifespan]]</f>
        <v>34.06</v>
      </c>
      <c r="K17" s="95">
        <f>Non_Cyber_Workstation_Laptop[[#This Row],[Scope 2 (kgC02e)]]+Non_Cyber_Workstation_Laptop[[#This Row],[Scope 3 (kgC02e)]]</f>
        <v>47.928769000000003</v>
      </c>
    </row>
    <row r="18" spans="1:11" s="26" customFormat="1" ht="14.45">
      <c r="B18" s="198"/>
      <c r="C18" s="198"/>
    </row>
    <row r="19" spans="1:11" s="26" customFormat="1" ht="21">
      <c r="A19" s="98" t="s">
        <v>354</v>
      </c>
      <c r="B19" s="198"/>
      <c r="C19" s="198"/>
    </row>
    <row r="20" spans="1:11" s="26" customFormat="1" ht="14.45">
      <c r="B20" s="198"/>
      <c r="C20" s="199"/>
      <c r="D20" s="119"/>
      <c r="E20" s="119"/>
      <c r="F20" s="119"/>
      <c r="G20" s="119"/>
      <c r="H20" s="119"/>
      <c r="I20" s="119"/>
    </row>
    <row r="21" spans="1:11" s="26" customFormat="1" ht="29.1">
      <c r="A21" s="25"/>
      <c r="B21" s="200" t="s">
        <v>245</v>
      </c>
      <c r="C21" s="200" t="s">
        <v>246</v>
      </c>
      <c r="D21" s="96" t="s">
        <v>247</v>
      </c>
      <c r="E21" s="58" t="s">
        <v>248</v>
      </c>
      <c r="F21" s="58" t="s">
        <v>249</v>
      </c>
      <c r="G21" s="58" t="s">
        <v>250</v>
      </c>
      <c r="H21" s="58" t="s">
        <v>251</v>
      </c>
      <c r="I21" s="58" t="s">
        <v>252</v>
      </c>
      <c r="J21" s="58" t="s">
        <v>253</v>
      </c>
      <c r="K21" s="58" t="s">
        <v>254</v>
      </c>
    </row>
    <row r="22" spans="1:11" s="26" customFormat="1" ht="57.95">
      <c r="B22" s="167" t="s">
        <v>351</v>
      </c>
      <c r="C22" s="234">
        <f>18700-141</f>
        <v>18559</v>
      </c>
      <c r="D22" s="234">
        <v>5</v>
      </c>
      <c r="E22" s="95">
        <f>CI_Group_Staff</f>
        <v>0.47659000000000001</v>
      </c>
      <c r="F22" s="95" t="str">
        <f>'3.2 Emission Factors'!$C$9</f>
        <v>Workstation - Computer central unit alone - ADEME 2023, Base carbone</v>
      </c>
      <c r="G22" s="95">
        <f>VLOOKUP(Non_cyber_Workstation_Desktop[[#This Row],[Emission Factor]],Tableau3[[Name]:[Consumption (kWh/year)]],6,FALSE)</f>
        <v>151</v>
      </c>
      <c r="H22" s="95">
        <f>VLOOKUP(Non_cyber_Workstation_Desktop[[#This Row],[Emission Factor]],Tableau3[[Name]:[Consumption (kWh/year)]],5,FALSE)</f>
        <v>202.57769999999999</v>
      </c>
      <c r="I22" s="95">
        <f>Non_cyber_Workstation_Desktop[[#This Row],[Electric consumption (kWh/year/unit)]]*Non_cyber_Workstation_Desktop[[#This Row],[Energetic mix (kgCO2e/kWh)]]*Non_cyber_Workstation_Desktop[[#This Row],[Quantity ]]</f>
        <v>1335600.10531</v>
      </c>
      <c r="J22" s="95">
        <f>Non_cyber_Workstation_Desktop[[#This Row],[Manufacturing (kgCO2e/unit)]]*Non_cyber_Workstation_Desktop[[#This Row],[Quantity ]]/Non_cyber_Workstation_Desktop[[#This Row],[Lifespan]]</f>
        <v>751927.90685999999</v>
      </c>
      <c r="K22" s="95">
        <f>Non_cyber_Workstation_Desktop[[#This Row],[Scope 2 (kgC02e)]]+Non_cyber_Workstation_Desktop[[#This Row],[Scope 3 (kgC02e)]]</f>
        <v>2087528.01217</v>
      </c>
    </row>
    <row r="23" spans="1:11" s="26" customFormat="1" ht="57.95">
      <c r="B23" s="167" t="s">
        <v>352</v>
      </c>
      <c r="C23" s="234">
        <v>1</v>
      </c>
      <c r="D23" s="234">
        <v>5</v>
      </c>
      <c r="E23" s="95">
        <f>CI_Group_Staff</f>
        <v>0.47659000000000001</v>
      </c>
      <c r="F23" s="95" t="str">
        <f>'3.2 Emission Factors'!$C$9</f>
        <v>Workstation - Computer central unit alone - ADEME 2023, Base carbone</v>
      </c>
      <c r="G23" s="95">
        <f>VLOOKUP(Non_cyber_Workstation_Desktop[[#This Row],[Emission Factor]],Tableau3[[Name]:[Consumption (kWh/year)]],6,FALSE)</f>
        <v>151</v>
      </c>
      <c r="H23" s="95">
        <f>VLOOKUP(Non_cyber_Workstation_Desktop[[#This Row],[Emission Factor]],Tableau3[[Name]:[Consumption (kWh/year)]],5,FALSE)</f>
        <v>202.57769999999999</v>
      </c>
      <c r="I23" s="95">
        <f>Non_cyber_Workstation_Desktop[[#This Row],[Electric consumption (kWh/year/unit)]]*Non_cyber_Workstation_Desktop[[#This Row],[Energetic mix (kgCO2e/kWh)]]*Non_cyber_Workstation_Desktop[[#This Row],[Quantity ]]</f>
        <v>71.965090000000004</v>
      </c>
      <c r="J23" s="95">
        <f>Non_cyber_Workstation_Desktop[[#This Row],[Manufacturing (kgCO2e/unit)]]*Non_cyber_Workstation_Desktop[[#This Row],[Quantity ]]/Non_cyber_Workstation_Desktop[[#This Row],[Lifespan]]</f>
        <v>40.515540000000001</v>
      </c>
      <c r="K23" s="95">
        <f>Non_cyber_Workstation_Desktop[[#This Row],[Scope 2 (kgC02e)]]+Non_cyber_Workstation_Desktop[[#This Row],[Scope 3 (kgC02e)]]</f>
        <v>112.48063</v>
      </c>
    </row>
    <row r="24" spans="1:11" s="26" customFormat="1" ht="57.95">
      <c r="B24" s="167" t="s">
        <v>353</v>
      </c>
      <c r="C24" s="234">
        <v>5</v>
      </c>
      <c r="D24" s="234">
        <v>5</v>
      </c>
      <c r="E24" s="95">
        <f>CI_Group_Staff</f>
        <v>0.47659000000000001</v>
      </c>
      <c r="F24" s="95" t="str">
        <f>'3.2 Emission Factors'!$C$9</f>
        <v>Workstation - Computer central unit alone - ADEME 2023, Base carbone</v>
      </c>
      <c r="G24" s="95">
        <f>VLOOKUP(Non_cyber_Workstation_Desktop[[#This Row],[Emission Factor]],Tableau3[[Name]:[Consumption (kWh/year)]],6,FALSE)</f>
        <v>151</v>
      </c>
      <c r="H24" s="95">
        <f>VLOOKUP(Non_cyber_Workstation_Desktop[[#This Row],[Emission Factor]],Tableau3[[Name]:[Consumption (kWh/year)]],5,FALSE)</f>
        <v>202.57769999999999</v>
      </c>
      <c r="I24" s="95">
        <f>Non_cyber_Workstation_Desktop[[#This Row],[Electric consumption (kWh/year/unit)]]*Non_cyber_Workstation_Desktop[[#This Row],[Energetic mix (kgCO2e/kWh)]]*Non_cyber_Workstation_Desktop[[#This Row],[Quantity ]]</f>
        <v>359.82545000000005</v>
      </c>
      <c r="J24" s="95">
        <f>Non_cyber_Workstation_Desktop[[#This Row],[Manufacturing (kgCO2e/unit)]]*Non_cyber_Workstation_Desktop[[#This Row],[Quantity ]]/Non_cyber_Workstation_Desktop[[#This Row],[Lifespan]]</f>
        <v>202.57769999999999</v>
      </c>
      <c r="K24" s="95">
        <f>Non_cyber_Workstation_Desktop[[#This Row],[Scope 2 (kgC02e)]]+Non_cyber_Workstation_Desktop[[#This Row],[Scope 3 (kgC02e)]]</f>
        <v>562.4031500000001</v>
      </c>
    </row>
    <row r="25" spans="1:11" s="26" customFormat="1" ht="14.45">
      <c r="B25" s="198"/>
      <c r="C25" s="198"/>
    </row>
    <row r="26" spans="1:11" s="26" customFormat="1" ht="14.45">
      <c r="B26" s="198"/>
      <c r="C26" s="198"/>
    </row>
    <row r="27" spans="1:11" s="26" customFormat="1" ht="14.45">
      <c r="B27" s="198"/>
      <c r="C27" s="198"/>
    </row>
    <row r="28" spans="1:11" s="26" customFormat="1" ht="21">
      <c r="A28" s="98" t="s">
        <v>355</v>
      </c>
    </row>
    <row r="29" spans="1:11" s="26" customFormat="1" ht="14.45" customHeight="1">
      <c r="D29" s="119"/>
      <c r="E29" s="119"/>
      <c r="F29" s="119"/>
      <c r="G29" s="119"/>
      <c r="H29" s="119"/>
    </row>
    <row r="30" spans="1:11" s="26" customFormat="1" ht="29.1">
      <c r="B30" s="58" t="s">
        <v>245</v>
      </c>
      <c r="C30" s="58" t="s">
        <v>246</v>
      </c>
      <c r="D30" s="58" t="s">
        <v>248</v>
      </c>
      <c r="E30" s="58" t="s">
        <v>249</v>
      </c>
      <c r="F30" s="58" t="s">
        <v>250</v>
      </c>
      <c r="G30" s="58" t="s">
        <v>251</v>
      </c>
      <c r="H30" s="58" t="s">
        <v>252</v>
      </c>
      <c r="I30" s="58" t="s">
        <v>253</v>
      </c>
      <c r="J30" s="58" t="s">
        <v>254</v>
      </c>
    </row>
    <row r="31" spans="1:11" s="26" customFormat="1" ht="72.599999999999994">
      <c r="B31" s="168" t="s">
        <v>356</v>
      </c>
      <c r="C31" s="94"/>
      <c r="D31" s="95">
        <f>CI_Group_Staff</f>
        <v>0.47659000000000001</v>
      </c>
      <c r="E31" s="95" t="str">
        <f>'3.2 Emission Factors'!$C$14</f>
        <v>VDIs - Wavestone study based on ADEME/Negaoctet database - VDI underlying server (8 vCPU, 32 GB dedicated RAM) and network</v>
      </c>
      <c r="F31" s="95">
        <f>VLOOKUP(Non_Cyber_Group_VDI45[[#This Row],[Emission Factor]],Tableau13[[Name]:[Consumption (kWh/year)]],6,FALSE)</f>
        <v>26.895045041723733</v>
      </c>
      <c r="G31" s="95">
        <f>VLOOKUP(Non_Cyber_Group_VDI45[[#This Row],[Emission Factor]],Tableau13[[Name]:[Consumption (kWh/year)]],5,FALSE)</f>
        <v>127.73183243741441</v>
      </c>
      <c r="H31" s="95">
        <f>Non_Cyber_Group_VDI45[[#This Row],[Electric consumption (kWh/year/unit)]]*Non_Cyber_Group_VDI45[[#This Row],[Energetic mix (kgCO2e/kWh)]]*Non_Cyber_Group_VDI45[[#This Row],[Quantity ]]</f>
        <v>0</v>
      </c>
      <c r="I31" s="95">
        <f>Non_Cyber_Group_VDI45[[#This Row],[Manufacturing (kgCO2e/unit)]]*Non_Cyber_Group_VDI45[[#This Row],[Quantity ]]</f>
        <v>0</v>
      </c>
      <c r="J31" s="95">
        <f>Non_Cyber_Group_VDI45[[#This Row],[Scope 2 (kgC02e)]]+Non_Cyber_Group_VDI45[[#This Row],[Scope 3 (kgC02e)]]</f>
        <v>0</v>
      </c>
    </row>
    <row r="32" spans="1:11" s="26" customFormat="1" ht="72.599999999999994">
      <c r="B32" s="168" t="s">
        <v>357</v>
      </c>
      <c r="C32" s="94"/>
      <c r="D32" s="95">
        <f>CI_Group_Staff</f>
        <v>0.47659000000000001</v>
      </c>
      <c r="E32" s="95" t="str">
        <f>'3.2 Emission Factors'!$C$14</f>
        <v>VDIs - Wavestone study based on ADEME/Negaoctet database - VDI underlying server (8 vCPU, 32 GB dedicated RAM) and network</v>
      </c>
      <c r="F32" s="95">
        <f>VLOOKUP(Non_Cyber_Group_VDI45[[#This Row],[Emission Factor]],Tableau13[[Name]:[Consumption (kWh/year)]],6,FALSE)</f>
        <v>26.895045041723733</v>
      </c>
      <c r="G32" s="95">
        <f>VLOOKUP(Non_Cyber_Group_VDI45[[#This Row],[Emission Factor]],Tableau13[[Name]:[Consumption (kWh/year)]],5,FALSE)</f>
        <v>127.73183243741441</v>
      </c>
      <c r="H32" s="95">
        <f>Non_Cyber_Group_VDI45[[#This Row],[Electric consumption (kWh/year/unit)]]*Non_Cyber_Group_VDI45[[#This Row],[Energetic mix (kgCO2e/kWh)]]*Non_Cyber_Group_VDI45[[#This Row],[Quantity ]]</f>
        <v>0</v>
      </c>
      <c r="I32" s="95">
        <f>Non_Cyber_Group_VDI45[[#This Row],[Manufacturing (kgCO2e/unit)]]*Non_Cyber_Group_VDI45[[#This Row],[Quantity ]]</f>
        <v>0</v>
      </c>
      <c r="J32" s="95">
        <f>Non_Cyber_Group_VDI45[[#This Row],[Scope 2 (kgC02e)]]+Non_Cyber_Group_VDI45[[#This Row],[Scope 3 (kgC02e)]]</f>
        <v>0</v>
      </c>
    </row>
    <row r="36" spans="1:17" ht="20.100000000000001" customHeight="1">
      <c r="A36" s="138" t="s">
        <v>358</v>
      </c>
    </row>
    <row r="37" spans="1:17" ht="20.100000000000001" customHeight="1"/>
    <row r="38" spans="1:17" s="5" customFormat="1" ht="14.45">
      <c r="A38" s="3"/>
      <c r="B38" s="240" t="s">
        <v>273</v>
      </c>
      <c r="C38" s="240" t="s">
        <v>359</v>
      </c>
      <c r="D38" s="274" t="s">
        <v>275</v>
      </c>
      <c r="E38" s="240" t="s">
        <v>277</v>
      </c>
      <c r="F38" s="113" t="s">
        <v>278</v>
      </c>
      <c r="G38" s="113" t="s">
        <v>268</v>
      </c>
      <c r="H38" s="113" t="s">
        <v>279</v>
      </c>
      <c r="I38" s="113" t="s">
        <v>360</v>
      </c>
      <c r="J38" s="113" t="s">
        <v>281</v>
      </c>
      <c r="K38" s="113" t="s">
        <v>190</v>
      </c>
      <c r="L38" s="113" t="s">
        <v>284</v>
      </c>
      <c r="M38" s="113" t="s">
        <v>285</v>
      </c>
      <c r="N38" s="113" t="s">
        <v>286</v>
      </c>
      <c r="O38" s="113" t="s">
        <v>287</v>
      </c>
      <c r="P38" s="66" t="s">
        <v>288</v>
      </c>
    </row>
    <row r="39" spans="1:17" ht="14.45">
      <c r="B39" s="241" t="s">
        <v>361</v>
      </c>
      <c r="C39" s="241"/>
      <c r="D39" s="241"/>
      <c r="E39" s="242">
        <v>10</v>
      </c>
      <c r="F39" s="242" t="s">
        <v>240</v>
      </c>
      <c r="G39" s="242">
        <v>1.59</v>
      </c>
      <c r="H39" s="242">
        <v>128</v>
      </c>
      <c r="I39" s="243">
        <v>250</v>
      </c>
      <c r="J39" s="242">
        <v>175000</v>
      </c>
      <c r="K39" s="241"/>
      <c r="L39" s="276">
        <f>IFERROR(VLOOKUP(Non_Cyber_Servers[[#This Row],[Server location ]],Mix_Energétique[],2,FALSE),0)</f>
        <v>5.8000000000000003E-2</v>
      </c>
      <c r="M39" s="277">
        <f>Non_Cyber_Servers[[#This Row],[Physical CPU (unit)]]*'3.2 Emission Factors'!$M$53*Non_Cyber_Servers[[#This Row],[PUE]]</f>
        <v>351343.89</v>
      </c>
      <c r="N39" s="277">
        <f>Non_Cyber_Servers[[#This Row],[Electric consumption (kWh)]]*Non_Cyber_Servers[[#This Row],[Energetic mix (kgCO2e / kWh)]]</f>
        <v>20377.945620000002</v>
      </c>
      <c r="O39"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69441.111111111109</v>
      </c>
      <c r="P39" s="277">
        <f>Non_Cyber_Servers[[#This Row],[Scope 2 (kgCO2e)]]+Non_Cyber_Servers[[#This Row],[Scope 3 (kgCO2e)]]</f>
        <v>89819.056731111108</v>
      </c>
      <c r="Q39" s="275"/>
    </row>
    <row r="40" spans="1:17" ht="14.45">
      <c r="B40" s="241" t="s">
        <v>361</v>
      </c>
      <c r="C40" s="241"/>
      <c r="D40" s="241"/>
      <c r="E40" s="242"/>
      <c r="F40" s="242"/>
      <c r="G40" s="242"/>
      <c r="H40" s="242"/>
      <c r="I40" s="243"/>
      <c r="J40" s="242"/>
      <c r="K40" s="241"/>
      <c r="L40" s="276">
        <f>IFERROR(VLOOKUP(Non_Cyber_Servers[[#This Row],[Server location ]],Mix_Energétique[],2,FALSE),0)</f>
        <v>0</v>
      </c>
      <c r="M40" s="277">
        <f>Non_Cyber_Servers[[#This Row],[Physical CPU (unit)]]*'3.2 Emission Factors'!$M$53*Non_Cyber_Servers[[#This Row],[PUE]]</f>
        <v>0</v>
      </c>
      <c r="N40" s="277">
        <f>Non_Cyber_Servers[[#This Row],[Electric consumption (kWh)]]*Non_Cyber_Servers[[#This Row],[Energetic mix (kgCO2e / kWh)]]</f>
        <v>0</v>
      </c>
      <c r="O40"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0" s="277">
        <f>Non_Cyber_Servers[[#This Row],[Scope 2 (kgCO2e)]]+Non_Cyber_Servers[[#This Row],[Scope 3 (kgCO2e)]]</f>
        <v>0</v>
      </c>
    </row>
    <row r="41" spans="1:17" ht="14.45">
      <c r="B41" s="241" t="s">
        <v>361</v>
      </c>
      <c r="C41" s="241"/>
      <c r="D41" s="241"/>
      <c r="E41" s="242"/>
      <c r="F41" s="242"/>
      <c r="G41" s="242"/>
      <c r="H41" s="242"/>
      <c r="I41" s="243"/>
      <c r="J41" s="242"/>
      <c r="K41" s="241"/>
      <c r="L41" s="276">
        <f>IFERROR(VLOOKUP(Non_Cyber_Servers[[#This Row],[Server location ]],Mix_Energétique[],2,FALSE),0)</f>
        <v>0</v>
      </c>
      <c r="M41" s="277">
        <f>Non_Cyber_Servers[[#This Row],[Physical CPU (unit)]]*'3.2 Emission Factors'!$M$53*Non_Cyber_Servers[[#This Row],[PUE]]</f>
        <v>0</v>
      </c>
      <c r="N41" s="277">
        <f>Non_Cyber_Servers[[#This Row],[Electric consumption (kWh)]]*Non_Cyber_Servers[[#This Row],[Energetic mix (kgCO2e / kWh)]]</f>
        <v>0</v>
      </c>
      <c r="O41"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1" s="277">
        <f>Non_Cyber_Servers[[#This Row],[Scope 2 (kgCO2e)]]+Non_Cyber_Servers[[#This Row],[Scope 3 (kgCO2e)]]</f>
        <v>0</v>
      </c>
    </row>
    <row r="42" spans="1:17" ht="14.45">
      <c r="B42" s="241" t="s">
        <v>361</v>
      </c>
      <c r="C42" s="241"/>
      <c r="D42" s="241"/>
      <c r="E42" s="242"/>
      <c r="F42" s="242"/>
      <c r="G42" s="242"/>
      <c r="H42" s="242"/>
      <c r="I42" s="243"/>
      <c r="J42" s="242"/>
      <c r="K42" s="241"/>
      <c r="L42" s="276">
        <f>IFERROR(VLOOKUP(Non_Cyber_Servers[[#This Row],[Server location ]],Mix_Energétique[],2,FALSE),0)</f>
        <v>0</v>
      </c>
      <c r="M42" s="277">
        <f>Non_Cyber_Servers[[#This Row],[Physical CPU (unit)]]*'3.2 Emission Factors'!$M$53*Non_Cyber_Servers[[#This Row],[PUE]]</f>
        <v>0</v>
      </c>
      <c r="N42" s="277">
        <f>Non_Cyber_Servers[[#This Row],[Electric consumption (kWh)]]*Non_Cyber_Servers[[#This Row],[Energetic mix (kgCO2e / kWh)]]</f>
        <v>0</v>
      </c>
      <c r="O42"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2" s="277">
        <f>Non_Cyber_Servers[[#This Row],[Scope 2 (kgCO2e)]]+Non_Cyber_Servers[[#This Row],[Scope 3 (kgCO2e)]]</f>
        <v>0</v>
      </c>
    </row>
    <row r="43" spans="1:17" ht="14.45">
      <c r="B43" s="241" t="s">
        <v>362</v>
      </c>
      <c r="C43" s="241"/>
      <c r="D43" s="241"/>
      <c r="E43" s="242"/>
      <c r="F43" s="242"/>
      <c r="G43" s="242"/>
      <c r="H43" s="242"/>
      <c r="I43" s="243"/>
      <c r="J43" s="242"/>
      <c r="K43" s="241"/>
      <c r="L43" s="276">
        <f>IFERROR(VLOOKUP(Non_Cyber_Servers[[#This Row],[Server location ]],Mix_Energétique[],2,FALSE),0)</f>
        <v>0</v>
      </c>
      <c r="M43" s="277">
        <f>Non_Cyber_Servers[[#This Row],[Physical CPU (unit)]]*'3.2 Emission Factors'!$M$53*Non_Cyber_Servers[[#This Row],[PUE]]</f>
        <v>0</v>
      </c>
      <c r="N43" s="277">
        <f>Non_Cyber_Servers[[#This Row],[Electric consumption (kWh)]]*Non_Cyber_Servers[[#This Row],[Energetic mix (kgCO2e / kWh)]]</f>
        <v>0</v>
      </c>
      <c r="O43"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3" s="277">
        <f>Non_Cyber_Servers[[#This Row],[Scope 2 (kgCO2e)]]+Non_Cyber_Servers[[#This Row],[Scope 3 (kgCO2e)]]</f>
        <v>0</v>
      </c>
    </row>
    <row r="44" spans="1:17" ht="14.45">
      <c r="B44" s="241" t="s">
        <v>362</v>
      </c>
      <c r="C44" s="241"/>
      <c r="D44" s="241"/>
      <c r="E44" s="242"/>
      <c r="F44" s="242"/>
      <c r="G44" s="242"/>
      <c r="H44" s="242"/>
      <c r="I44" s="243"/>
      <c r="J44" s="242"/>
      <c r="K44" s="241"/>
      <c r="L44" s="276">
        <f>IFERROR(VLOOKUP(Non_Cyber_Servers[[#This Row],[Server location ]],Mix_Energétique[],2,FALSE),0)</f>
        <v>0</v>
      </c>
      <c r="M44" s="277">
        <f>Non_Cyber_Servers[[#This Row],[Physical CPU (unit)]]*'3.2 Emission Factors'!$M$53*Non_Cyber_Servers[[#This Row],[PUE]]</f>
        <v>0</v>
      </c>
      <c r="N44" s="277">
        <f>Non_Cyber_Servers[[#This Row],[Electric consumption (kWh)]]*Non_Cyber_Servers[[#This Row],[Energetic mix (kgCO2e / kWh)]]</f>
        <v>0</v>
      </c>
      <c r="O44"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4" s="278">
        <f>Non_Cyber_Servers[[#This Row],[Scope 2 (kgCO2e)]]+Non_Cyber_Servers[[#This Row],[Scope 3 (kgCO2e)]]</f>
        <v>0</v>
      </c>
    </row>
    <row r="45" spans="1:17" ht="14.45">
      <c r="B45" s="241" t="s">
        <v>362</v>
      </c>
      <c r="C45" s="241"/>
      <c r="D45" s="241"/>
      <c r="E45" s="242"/>
      <c r="F45" s="242"/>
      <c r="G45" s="242"/>
      <c r="H45" s="242"/>
      <c r="I45" s="243"/>
      <c r="J45" s="242"/>
      <c r="K45" s="241"/>
      <c r="L45" s="276">
        <f>IFERROR(VLOOKUP(Non_Cyber_Servers[[#This Row],[Server location ]],Mix_Energétique[],2,FALSE),0)</f>
        <v>0</v>
      </c>
      <c r="M45" s="277">
        <f>Non_Cyber_Servers[[#This Row],[Physical CPU (unit)]]*'3.2 Emission Factors'!$M$53*Non_Cyber_Servers[[#This Row],[PUE]]</f>
        <v>0</v>
      </c>
      <c r="N45" s="277">
        <f>Non_Cyber_Servers[[#This Row],[Electric consumption (kWh)]]*Non_Cyber_Servers[[#This Row],[Energetic mix (kgCO2e / kWh)]]</f>
        <v>0</v>
      </c>
      <c r="O45"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5" s="277">
        <f>Non_Cyber_Servers[[#This Row],[Scope 2 (kgCO2e)]]+Non_Cyber_Servers[[#This Row],[Scope 3 (kgCO2e)]]</f>
        <v>0</v>
      </c>
    </row>
    <row r="46" spans="1:17" ht="14.45">
      <c r="B46" s="241" t="s">
        <v>362</v>
      </c>
      <c r="C46" s="241"/>
      <c r="D46" s="241"/>
      <c r="E46" s="242"/>
      <c r="F46" s="242"/>
      <c r="G46" s="242"/>
      <c r="H46" s="242"/>
      <c r="I46" s="243"/>
      <c r="J46" s="242"/>
      <c r="K46" s="241"/>
      <c r="L46" s="276">
        <f>IFERROR(VLOOKUP(Non_Cyber_Servers[[#This Row],[Server location ]],Mix_Energétique[],2,FALSE),0)</f>
        <v>0</v>
      </c>
      <c r="M46" s="277">
        <f>Non_Cyber_Servers[[#This Row],[Physical CPU (unit)]]*'3.2 Emission Factors'!$M$53*Non_Cyber_Servers[[#This Row],[PUE]]</f>
        <v>0</v>
      </c>
      <c r="N46" s="277">
        <f>Non_Cyber_Servers[[#This Row],[Electric consumption (kWh)]]*Non_Cyber_Servers[[#This Row],[Energetic mix (kgCO2e / kWh)]]</f>
        <v>0</v>
      </c>
      <c r="O46"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6" s="277">
        <f>Non_Cyber_Servers[[#This Row],[Scope 2 (kgCO2e)]]+Non_Cyber_Servers[[#This Row],[Scope 3 (kgCO2e)]]</f>
        <v>0</v>
      </c>
    </row>
    <row r="47" spans="1:17" ht="14.45">
      <c r="B47" s="241" t="s">
        <v>362</v>
      </c>
      <c r="C47" s="241"/>
      <c r="D47" s="241"/>
      <c r="E47" s="242"/>
      <c r="F47" s="242"/>
      <c r="G47" s="242"/>
      <c r="H47" s="242"/>
      <c r="I47" s="243"/>
      <c r="J47" s="242"/>
      <c r="K47" s="241"/>
      <c r="L47" s="276">
        <f>IFERROR(VLOOKUP(Non_Cyber_Servers[[#This Row],[Server location ]],Mix_Energétique[],2,FALSE),0)</f>
        <v>0</v>
      </c>
      <c r="M47" s="277">
        <f>Non_Cyber_Servers[[#This Row],[Physical CPU (unit)]]*'3.2 Emission Factors'!$M$53*Non_Cyber_Servers[[#This Row],[PUE]]</f>
        <v>0</v>
      </c>
      <c r="N47" s="277">
        <f>Non_Cyber_Servers[[#This Row],[Electric consumption (kWh)]]*Non_Cyber_Servers[[#This Row],[Energetic mix (kgCO2e / kWh)]]</f>
        <v>0</v>
      </c>
      <c r="O47"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7" s="277">
        <f>Non_Cyber_Servers[[#This Row],[Scope 2 (kgCO2e)]]+Non_Cyber_Servers[[#This Row],[Scope 3 (kgCO2e)]]</f>
        <v>0</v>
      </c>
    </row>
    <row r="48" spans="1:17" ht="15" customHeight="1">
      <c r="B48" s="241" t="s">
        <v>362</v>
      </c>
      <c r="C48" s="241"/>
      <c r="D48" s="241"/>
      <c r="E48" s="242"/>
      <c r="F48" s="242"/>
      <c r="G48" s="242"/>
      <c r="H48" s="242"/>
      <c r="I48" s="243"/>
      <c r="J48" s="242"/>
      <c r="K48" s="241"/>
      <c r="L48" s="276">
        <f>IFERROR(VLOOKUP(Non_Cyber_Servers[[#This Row],[Server location ]],Mix_Energétique[],2,FALSE),0)</f>
        <v>0</v>
      </c>
      <c r="M48" s="277">
        <f>Non_Cyber_Servers[[#This Row],[Physical CPU (unit)]]*'3.2 Emission Factors'!$M$53*Non_Cyber_Servers[[#This Row],[PUE]]</f>
        <v>0</v>
      </c>
      <c r="N48" s="277">
        <f>Non_Cyber_Servers[[#This Row],[Electric consumption (kWh)]]*Non_Cyber_Servers[[#This Row],[Energetic mix (kgCO2e / kWh)]]</f>
        <v>0</v>
      </c>
      <c r="O48" s="277">
        <f>IFERROR((Non_Cyber_Servers[[#This Row],[Physical servers (unit)]]*'3.2 Emission Factors'!$G$68*'3.3 Assumptions'!$D$14+Non_Cyber_Servers[[#This Row],[Physical servers (unit)]]*'3.2 Emission Factors'!$F$47+Non_Cyber_Servers[[#This Row],[Physical CPU (unit)]]*'3.2 Emission Factors'!$J$47+Non_Cyber_Servers[[#This Row],[RAM (GB)]]*'3.2 Emission Factors'!$H$47)/Non_Cyber_Servers[[#This Row],[Server lifespan]],0)</f>
        <v>0</v>
      </c>
      <c r="P48" s="277">
        <f>Non_Cyber_Servers[[#This Row],[Scope 2 (kgCO2e)]]+Non_Cyber_Servers[[#This Row],[Scope 3 (kgCO2e)]]</f>
        <v>0</v>
      </c>
    </row>
    <row r="49" spans="12:16" ht="15" customHeight="1">
      <c r="L49" s="279"/>
      <c r="M49" s="279"/>
      <c r="N49" s="279"/>
      <c r="O49" s="279"/>
      <c r="P49" s="279"/>
    </row>
    <row r="1687" spans="12:12" ht="14.45">
      <c r="L1687" s="3">
        <v>214.60473519892986</v>
      </c>
    </row>
    <row r="1688" spans="12:12" ht="14.45">
      <c r="L1688" s="3">
        <v>238.80926206394952</v>
      </c>
    </row>
    <row r="1689" spans="12:12" ht="14.45">
      <c r="L1689" s="3">
        <v>1040.3382150540961</v>
      </c>
    </row>
    <row r="1690" spans="12:12" ht="14.45">
      <c r="L1690" s="3">
        <v>12.175446888544521</v>
      </c>
    </row>
    <row r="1691" spans="12:12" ht="14.45">
      <c r="L1691" s="3">
        <v>187.87527536514079</v>
      </c>
    </row>
    <row r="1692" spans="12:12" ht="14.45">
      <c r="L1692" s="3">
        <v>22.71769606159372</v>
      </c>
    </row>
    <row r="1693" spans="12:12" ht="14.45">
      <c r="L1693" s="3">
        <v>177.6565177308766</v>
      </c>
    </row>
    <row r="1694" spans="12:12" ht="14.45">
      <c r="L1694" s="3">
        <v>112.05156946226725</v>
      </c>
    </row>
    <row r="1695" spans="12:12" ht="14.45">
      <c r="L1695" s="3">
        <v>29.118443355532335</v>
      </c>
    </row>
    <row r="1696" spans="12:12" ht="14.45">
      <c r="L1696" s="3">
        <v>2623.6698285208963</v>
      </c>
    </row>
    <row r="1697" spans="12:12" ht="14.45">
      <c r="L1697" s="3">
        <v>12.878143925104157</v>
      </c>
    </row>
    <row r="1698" spans="12:12" ht="14.45">
      <c r="L1698" s="3">
        <v>118.33706295590434</v>
      </c>
    </row>
    <row r="1699" spans="12:12" ht="14.45">
      <c r="L1699" s="3">
        <v>68.646007030188571</v>
      </c>
    </row>
    <row r="1700" spans="12:12" ht="14.45">
      <c r="L1700" s="3">
        <v>7.375068922589664</v>
      </c>
    </row>
    <row r="1701" spans="12:12" ht="14.45">
      <c r="L1701" s="3">
        <v>16.13738379045019</v>
      </c>
    </row>
    <row r="1702" spans="12:12" ht="14.45">
      <c r="L1702" s="3">
        <v>28.226804705657848</v>
      </c>
    </row>
    <row r="1703" spans="12:12" ht="14.45">
      <c r="L1703" s="3">
        <v>230.80125923509181</v>
      </c>
    </row>
    <row r="1704" spans="12:12" ht="14.45">
      <c r="L1704" s="3">
        <v>112.47122409572134</v>
      </c>
    </row>
    <row r="1705" spans="12:12" ht="14.45">
      <c r="L1705" s="3">
        <v>222.06597554920552</v>
      </c>
    </row>
    <row r="1706" spans="12:12" ht="14.45">
      <c r="L1706" s="3">
        <v>47.797947281092384</v>
      </c>
    </row>
    <row r="1707" spans="12:12" ht="14.45">
      <c r="L1707" s="3">
        <v>28.90690762868774</v>
      </c>
    </row>
    <row r="1708" spans="12:12" ht="14.45">
      <c r="L1708" s="3">
        <v>288.4879209626551</v>
      </c>
    </row>
    <row r="1709" spans="12:12" ht="14.45">
      <c r="L1709" s="3">
        <v>423.90612909457838</v>
      </c>
    </row>
    <row r="1710" spans="12:12" ht="14.45">
      <c r="L1710" s="3">
        <v>28.723936396234897</v>
      </c>
    </row>
    <row r="1711" spans="12:12" ht="14.45">
      <c r="L1711" s="3">
        <v>2244.0700965380238</v>
      </c>
    </row>
    <row r="1712" spans="12:12" ht="14.45">
      <c r="L1712" s="3">
        <v>475.54130846624025</v>
      </c>
    </row>
    <row r="1713" spans="12:12" ht="14.45">
      <c r="L1713" s="3">
        <v>167.0072217170914</v>
      </c>
    </row>
    <row r="1714" spans="12:12" ht="14.45">
      <c r="L1714" s="3">
        <v>45.540678132730605</v>
      </c>
    </row>
    <row r="1715" spans="12:12" ht="14.45">
      <c r="L1715" s="3">
        <v>1067.364548410003</v>
      </c>
    </row>
    <row r="1716" spans="12:12" ht="14.45">
      <c r="L1716" s="3">
        <v>132.69841269841265</v>
      </c>
    </row>
    <row r="1717" spans="12:12" ht="14.45">
      <c r="L1717" s="3">
        <v>78.797582944998993</v>
      </c>
    </row>
    <row r="1718" spans="12:12" ht="14.45">
      <c r="L1718" s="3">
        <v>89.220257205690274</v>
      </c>
    </row>
    <row r="1719" spans="12:12" ht="14.45">
      <c r="L1719" s="3">
        <v>3.5875793116479038</v>
      </c>
    </row>
    <row r="1720" spans="12:12" ht="14.45">
      <c r="L1720" s="3">
        <v>96.585067428823209</v>
      </c>
    </row>
    <row r="1721" spans="12:12" ht="14.45">
      <c r="L1721" s="3">
        <v>2895.8201130494576</v>
      </c>
    </row>
    <row r="1722" spans="12:12" ht="14.45">
      <c r="L1722" s="3">
        <v>20.69368964924746</v>
      </c>
    </row>
    <row r="1723" spans="12:12" ht="14.45">
      <c r="L1723" s="3">
        <v>284.60317460317469</v>
      </c>
    </row>
    <row r="1724" spans="12:12" ht="14.45">
      <c r="L1724" s="3">
        <v>3.4920634920634921</v>
      </c>
    </row>
    <row r="1725" spans="12:12" ht="14.45">
      <c r="L1725" s="3">
        <v>47.616955610606375</v>
      </c>
    </row>
    <row r="1726" spans="12:12" ht="14.45">
      <c r="L1726" s="3">
        <v>60.71331727768974</v>
      </c>
    </row>
    <row r="1727" spans="12:12" ht="14.45">
      <c r="L1727" s="3">
        <v>370.15873015873007</v>
      </c>
    </row>
    <row r="1728" spans="12:12" ht="14.45">
      <c r="L1728" s="3">
        <v>0</v>
      </c>
    </row>
    <row r="1729" spans="12:12" ht="14.45">
      <c r="L1729" s="3">
        <v>6.9841269841269842</v>
      </c>
    </row>
    <row r="1730" spans="12:12" ht="14.45">
      <c r="L1730" s="3">
        <v>0</v>
      </c>
    </row>
    <row r="1731" spans="12:12" ht="14.45">
      <c r="L1731" s="3">
        <v>4.3650793650793647</v>
      </c>
    </row>
    <row r="1732" spans="12:12" ht="14.45">
      <c r="L1732" s="3">
        <v>96.126101641272854</v>
      </c>
    </row>
    <row r="1733" spans="12:12" ht="14.45">
      <c r="L1733" s="3">
        <v>17.460317460317459</v>
      </c>
    </row>
    <row r="1734" spans="12:12" ht="14.45">
      <c r="L1734" s="3">
        <v>55.873015873015873</v>
      </c>
    </row>
    <row r="1735" spans="12:12" ht="14.45">
      <c r="L1735" s="3">
        <v>251.42857142857139</v>
      </c>
    </row>
    <row r="1736" spans="12:12" ht="14.45">
      <c r="L1736" s="3">
        <v>6.9841269841269842</v>
      </c>
    </row>
    <row r="1737" spans="12:12" ht="14.45">
      <c r="L1737" s="3">
        <v>3.4920634920634921</v>
      </c>
    </row>
    <row r="1738" spans="12:12" ht="14.45">
      <c r="L1738" s="3">
        <v>41.904761904761898</v>
      </c>
    </row>
    <row r="1739" spans="12:12" ht="14.45">
      <c r="L1739" s="3">
        <v>12.222222222222221</v>
      </c>
    </row>
    <row r="1740" spans="12:12" ht="14.45">
      <c r="L1740" s="3">
        <v>670.47619047619025</v>
      </c>
    </row>
    <row r="1741" spans="12:12" ht="14.45">
      <c r="L1741" s="3">
        <v>57.619047619047606</v>
      </c>
    </row>
    <row r="1742" spans="12:12" ht="14.45">
      <c r="L1742" s="3">
        <v>4.3650793650793647</v>
      </c>
    </row>
    <row r="1743" spans="12:12" ht="14.45">
      <c r="L1743" s="3">
        <v>111.74603174603175</v>
      </c>
    </row>
    <row r="1744" spans="12:12" ht="14.45">
      <c r="L1744" s="3">
        <v>14.841269841269838</v>
      </c>
    </row>
    <row r="1745" spans="12:12" ht="14.45">
      <c r="L1745" s="3">
        <v>20.952380952380949</v>
      </c>
    </row>
    <row r="1746" spans="12:12" ht="14.45">
      <c r="L1746" s="3">
        <v>85.555555555555557</v>
      </c>
    </row>
    <row r="1747" spans="12:12" ht="14.45">
      <c r="L1747" s="3">
        <v>10.476190476190474</v>
      </c>
    </row>
    <row r="1748" spans="12:12" ht="14.45">
      <c r="L1748" s="3">
        <v>34.920634920634924</v>
      </c>
    </row>
    <row r="1749" spans="12:12" ht="14.45">
      <c r="L1749" s="3">
        <v>13.968253968253968</v>
      </c>
    </row>
    <row r="1750" spans="12:12" ht="14.45">
      <c r="L1750" s="3">
        <v>584.43476007848483</v>
      </c>
    </row>
    <row r="1751" spans="12:12" ht="14.45">
      <c r="L1751" s="3">
        <v>11.349206349206348</v>
      </c>
    </row>
    <row r="1752" spans="12:12" ht="14.45">
      <c r="L1752" s="3">
        <v>768.25396825396831</v>
      </c>
    </row>
    <row r="1753" spans="12:12" ht="14.45">
      <c r="L1753" s="3">
        <v>1.746031746031746</v>
      </c>
    </row>
    <row r="1754" spans="12:12" ht="14.45">
      <c r="L1754" s="3">
        <v>474.92063492063471</v>
      </c>
    </row>
    <row r="1755" spans="12:12" ht="14.45">
      <c r="L1755" s="3">
        <v>62.857142857142847</v>
      </c>
    </row>
    <row r="1756" spans="12:12" ht="14.45">
      <c r="L1756" s="3">
        <v>34.920634920634917</v>
      </c>
    </row>
    <row r="1757" spans="12:12" ht="14.45">
      <c r="L1757" s="3">
        <v>20.952380952380949</v>
      </c>
    </row>
    <row r="1758" spans="12:12" ht="14.45">
      <c r="L1758" s="3">
        <v>8.7301587301587293</v>
      </c>
    </row>
    <row r="1759" spans="12:12" ht="14.45">
      <c r="L1759" s="3">
        <v>3.4920634920634921</v>
      </c>
    </row>
    <row r="1760" spans="12:12" ht="14.45">
      <c r="L1760" s="3">
        <v>6.9841269841269842</v>
      </c>
    </row>
    <row r="1761" spans="12:12" ht="14.45">
      <c r="L1761" s="3">
        <v>6.9841269841269842</v>
      </c>
    </row>
    <row r="1762" spans="12:12" ht="14.45">
      <c r="L1762" s="3">
        <v>6.9841269841269842</v>
      </c>
    </row>
  </sheetData>
  <phoneticPr fontId="13" type="noConversion"/>
  <conditionalFormatting sqref="H31:J32">
    <cfRule type="cellIs" dxfId="431" priority="2" operator="equal">
      <formula>0</formula>
    </cfRule>
  </conditionalFormatting>
  <conditionalFormatting sqref="I15:K17 I22:K24 L39:L48">
    <cfRule type="cellIs" dxfId="430" priority="5" operator="equal">
      <formula>0</formula>
    </cfRule>
  </conditionalFormatting>
  <conditionalFormatting sqref="N39:P48">
    <cfRule type="cellIs" dxfId="429" priority="4" operator="equal">
      <formula>0</formula>
    </cfRule>
  </conditionalFormatting>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DD85D91-FE59-40A9-8380-8235A0CE1E38}">
          <x14:formula1>
            <xm:f>'3.1 Electricity mix'!$B$5:$B$142</xm:f>
          </x14:formula1>
          <xm:sqref>F39:F48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4E2FC-3E1C-4619-9C64-B01146FFA0C0}">
  <sheetPr>
    <tabColor theme="5" tint="0.79998168889431442"/>
  </sheetPr>
  <dimension ref="A2:K66"/>
  <sheetViews>
    <sheetView showGridLines="0" zoomScale="40" zoomScaleNormal="40" workbookViewId="0">
      <selection activeCell="B11" sqref="B11:C13"/>
    </sheetView>
  </sheetViews>
  <sheetFormatPr defaultColWidth="8.85546875" defaultRowHeight="14.45" outlineLevelRow="1"/>
  <cols>
    <col min="1" max="1" width="33.140625" style="26" customWidth="1"/>
    <col min="2" max="2" width="94.140625" style="26" customWidth="1"/>
    <col min="3" max="3" width="29.5703125" style="26" customWidth="1"/>
    <col min="4" max="4" width="27.140625" style="26" customWidth="1"/>
    <col min="5" max="5" width="41" style="26" customWidth="1"/>
    <col min="6" max="6" width="22.42578125" style="26" customWidth="1"/>
    <col min="7" max="7" width="26.42578125" style="26" customWidth="1"/>
    <col min="8" max="8" width="26" style="26" customWidth="1"/>
    <col min="9" max="9" width="26.5703125" style="26" customWidth="1"/>
    <col min="10" max="16384" width="8.85546875" style="26"/>
  </cols>
  <sheetData>
    <row r="2" spans="1:7" ht="15.6">
      <c r="A2" s="196" t="s">
        <v>216</v>
      </c>
      <c r="B2"/>
    </row>
    <row r="3" spans="1:7" ht="15.6">
      <c r="A3"/>
      <c r="B3" s="160" t="s">
        <v>217</v>
      </c>
    </row>
    <row r="4" spans="1:7" ht="29.1">
      <c r="A4"/>
      <c r="B4" s="227" t="s">
        <v>228</v>
      </c>
    </row>
    <row r="5" spans="1:7" ht="29.1">
      <c r="A5"/>
      <c r="B5" s="224" t="s">
        <v>219</v>
      </c>
    </row>
    <row r="6" spans="1:7" ht="29.1">
      <c r="A6"/>
      <c r="B6" s="228" t="s">
        <v>220</v>
      </c>
    </row>
    <row r="7" spans="1:7" ht="29.1">
      <c r="A7"/>
      <c r="B7" s="229" t="s">
        <v>229</v>
      </c>
    </row>
    <row r="8" spans="1:7">
      <c r="B8" s="166" t="s">
        <v>221</v>
      </c>
    </row>
    <row r="10" spans="1:7" ht="15.6">
      <c r="A10" s="196" t="s">
        <v>222</v>
      </c>
    </row>
    <row r="11" spans="1:7">
      <c r="B11" s="152" t="s">
        <v>363</v>
      </c>
      <c r="C11" s="153">
        <f>SUM(Mapping_Device_Results_by_TOPIC[Total Devices emissions (kgCO2e)])/1000</f>
        <v>23.657712391666667</v>
      </c>
    </row>
    <row r="12" spans="1:7">
      <c r="B12" s="154" t="str">
        <f>"Scope 2 "&amp;B11</f>
        <v>Scope 2 Devices emissions (tCO2e)</v>
      </c>
      <c r="C12" s="153">
        <f>SUM(Mapping_Devices_Workstation_Laptop[Scope 2 (kgC02e)],Mapping_Devices_Workstation_Desktop[Scope 2 (kgC02e)],Mapping_Devices_Screens[Scope 2 (kgC02e)],Mapping_Devices_Smartphone[Scope 2 (kgC02e)])/1000</f>
        <v>9.5868855000000011</v>
      </c>
    </row>
    <row r="13" spans="1:7">
      <c r="B13" s="154" t="str">
        <f>"Scope 3 "&amp;B11</f>
        <v>Scope 3 Devices emissions (tCO2e)</v>
      </c>
      <c r="C13" s="153">
        <f>SUM(Mapping_Devices_Workstation_Laptop[Scope 3 (kgC02e)],Mapping_Devices_Workstation_Desktop[Scope 3 (kgC02e)],Mapping_Devices_Screens[Scope 3 (kgC02e)],Mapping_Devices_Smartphone[Scope 3 (kgC02e)])/1000</f>
        <v>14.070826891666666</v>
      </c>
    </row>
    <row r="15" spans="1:7" outlineLevel="1">
      <c r="B15" s="96" t="s">
        <v>13</v>
      </c>
      <c r="C15" s="96" t="s">
        <v>364</v>
      </c>
      <c r="D15" s="96" t="s">
        <v>365</v>
      </c>
      <c r="E15" s="96" t="s">
        <v>366</v>
      </c>
      <c r="F15" s="96" t="s">
        <v>260</v>
      </c>
      <c r="G15" s="96" t="s">
        <v>263</v>
      </c>
    </row>
    <row r="16" spans="1:7" outlineLevel="1">
      <c r="B16" t="s">
        <v>14</v>
      </c>
      <c r="C16" s="123">
        <f>SUM(Mapping_Device_Results_by_TOPIC[[#This Row],[Workstation_Laptop]:[Smartphones]])</f>
        <v>0</v>
      </c>
      <c r="D16" s="123">
        <f>SUMIF(Mapping_Devices_Workstation_Laptop[NIST Topic],Mapping_Device_Results_by_TOPIC[[#This Row],[Topics]],Mapping_Devices_Workstation_Laptop[Total emissions (kgC02e)])</f>
        <v>0</v>
      </c>
      <c r="E16" s="123">
        <f>SUMIF(Mapping_Devices_Workstation_Desktop[NIST Topic],Mapping_Device_Results_by_TOPIC[[#This Row],[Topics]],Mapping_Devices_Workstation_Desktop[Total emissions (kgC02e)])</f>
        <v>0</v>
      </c>
      <c r="F16" s="123">
        <f>SUMIF(Mapping_Devices_Screens[NIST Topic],Mapping_Device_Results_by_TOPIC[[#This Row],[Topics]],Mapping_Devices_Screens[Total emissions (kgC02e)])</f>
        <v>0</v>
      </c>
      <c r="G16" s="123">
        <f>SUMIF(Mapping_Devices_Smartphone[NIST Topic],Mapping_Device_Results_by_TOPIC[[#This Row],[Topics]],Mapping_Devices_Smartphone[Total emissions (kgC02e)])</f>
        <v>0</v>
      </c>
    </row>
    <row r="17" spans="1:7" outlineLevel="1">
      <c r="B17" t="s">
        <v>15</v>
      </c>
      <c r="C17" s="123">
        <f>SUM(Mapping_Device_Results_by_TOPIC[[#This Row],[Workstation_Laptop]:[Smartphones]])</f>
        <v>0</v>
      </c>
      <c r="D17" s="123">
        <f>SUMIF(Mapping_Devices_Workstation_Laptop[NIST Topic],Mapping_Device_Results_by_TOPIC[[#This Row],[Topics]],Mapping_Devices_Workstation_Laptop[Total emissions (kgC02e)])</f>
        <v>0</v>
      </c>
      <c r="E17" s="123">
        <f>SUMIF(Mapping_Devices_Workstation_Desktop[NIST Topic],Mapping_Device_Results_by_TOPIC[[#This Row],[Topics]],Mapping_Devices_Workstation_Desktop[Total emissions (kgC02e)])</f>
        <v>0</v>
      </c>
      <c r="F17" s="123">
        <f>SUMIF(Mapping_Devices_Screens[NIST Topic],Mapping_Device_Results_by_TOPIC[[#This Row],[Topics]],Mapping_Devices_Screens[Total emissions (kgC02e)])</f>
        <v>0</v>
      </c>
      <c r="G17" s="123">
        <f>SUMIF(Mapping_Devices_Smartphone[NIST Topic],Mapping_Device_Results_by_TOPIC[[#This Row],[Topics]],Mapping_Devices_Smartphone[Total emissions (kgC02e)])</f>
        <v>0</v>
      </c>
    </row>
    <row r="18" spans="1:7" outlineLevel="1">
      <c r="B18" t="s">
        <v>16</v>
      </c>
      <c r="C18" s="123">
        <f>SUM(Mapping_Device_Results_by_TOPIC[[#This Row],[Workstation_Laptop]:[Smartphones]])</f>
        <v>0</v>
      </c>
      <c r="D18" s="123">
        <f>SUMIF(Mapping_Devices_Workstation_Laptop[NIST Topic],Mapping_Device_Results_by_TOPIC[[#This Row],[Topics]],Mapping_Devices_Workstation_Laptop[Total emissions (kgC02e)])</f>
        <v>0</v>
      </c>
      <c r="E18" s="123">
        <f>SUMIF(Mapping_Devices_Workstation_Desktop[NIST Topic],Mapping_Device_Results_by_TOPIC[[#This Row],[Topics]],Mapping_Devices_Workstation_Desktop[Total emissions (kgC02e)])</f>
        <v>0</v>
      </c>
      <c r="F18" s="123">
        <f>SUMIF(Mapping_Devices_Screens[NIST Topic],Mapping_Device_Results_by_TOPIC[[#This Row],[Topics]],Mapping_Devices_Screens[Total emissions (kgC02e)])</f>
        <v>0</v>
      </c>
      <c r="G18" s="123">
        <f>SUMIF(Mapping_Devices_Smartphone[NIST Topic],Mapping_Device_Results_by_TOPIC[[#This Row],[Topics]],Mapping_Devices_Smartphone[Total emissions (kgC02e)])</f>
        <v>0</v>
      </c>
    </row>
    <row r="19" spans="1:7" outlineLevel="1">
      <c r="B19" t="s">
        <v>17</v>
      </c>
      <c r="C19" s="123">
        <f>SUM(Mapping_Device_Results_by_TOPIC[[#This Row],[Workstation_Laptop]:[Smartphones]])</f>
        <v>0</v>
      </c>
      <c r="D19" s="123">
        <f>SUMIF(Mapping_Devices_Workstation_Laptop[NIST Topic],Mapping_Device_Results_by_TOPIC[[#This Row],[Topics]],Mapping_Devices_Workstation_Laptop[Total emissions (kgC02e)])</f>
        <v>0</v>
      </c>
      <c r="E19" s="123">
        <f>SUMIF(Mapping_Devices_Workstation_Desktop[NIST Topic],Mapping_Device_Results_by_TOPIC[[#This Row],[Topics]],Mapping_Devices_Workstation_Desktop[Total emissions (kgC02e)])</f>
        <v>0</v>
      </c>
      <c r="F19" s="123">
        <f>SUMIF(Mapping_Devices_Screens[NIST Topic],Mapping_Device_Results_by_TOPIC[[#This Row],[Topics]],Mapping_Devices_Screens[Total emissions (kgC02e)])</f>
        <v>0</v>
      </c>
      <c r="G19" s="123">
        <f>SUMIF(Mapping_Devices_Smartphone[NIST Topic],Mapping_Device_Results_by_TOPIC[[#This Row],[Topics]],Mapping_Devices_Smartphone[Total emissions (kgC02e)])</f>
        <v>0</v>
      </c>
    </row>
    <row r="20" spans="1:7" outlineLevel="1">
      <c r="B20" t="s">
        <v>18</v>
      </c>
      <c r="C20" s="123">
        <f>SUM(Mapping_Device_Results_by_TOPIC[[#This Row],[Workstation_Laptop]:[Smartphones]])</f>
        <v>0</v>
      </c>
      <c r="D20" s="123">
        <f>SUMIF(Mapping_Devices_Workstation_Laptop[NIST Topic],Mapping_Device_Results_by_TOPIC[[#This Row],[Topics]],Mapping_Devices_Workstation_Laptop[Total emissions (kgC02e)])</f>
        <v>0</v>
      </c>
      <c r="E20" s="123">
        <f>SUMIF(Mapping_Devices_Workstation_Desktop[NIST Topic],Mapping_Device_Results_by_TOPIC[[#This Row],[Topics]],Mapping_Devices_Workstation_Desktop[Total emissions (kgC02e)])</f>
        <v>0</v>
      </c>
      <c r="F20" s="123">
        <f>SUMIF(Mapping_Devices_Screens[NIST Topic],Mapping_Device_Results_by_TOPIC[[#This Row],[Topics]],Mapping_Devices_Screens[Total emissions (kgC02e)])</f>
        <v>0</v>
      </c>
      <c r="G20" s="123">
        <f>SUMIF(Mapping_Devices_Smartphone[NIST Topic],Mapping_Device_Results_by_TOPIC[[#This Row],[Topics]],Mapping_Devices_Smartphone[Total emissions (kgC02e)])</f>
        <v>0</v>
      </c>
    </row>
    <row r="21" spans="1:7" outlineLevel="1">
      <c r="B21" t="s">
        <v>19</v>
      </c>
      <c r="C21" s="123">
        <f>SUM(Mapping_Device_Results_by_TOPIC[[#This Row],[Workstation_Laptop]:[Smartphones]])</f>
        <v>1596.0111374999999</v>
      </c>
      <c r="D21" s="123">
        <f>SUMIF(Mapping_Devices_Workstation_Laptop[NIST Topic],Mapping_Device_Results_by_TOPIC[[#This Row],[Topics]],Mapping_Devices_Workstation_Laptop[Total emissions (kgC02e)])</f>
        <v>1349.8297499999999</v>
      </c>
      <c r="E21" s="123">
        <f>SUMIF(Mapping_Devices_Workstation_Desktop[NIST Topic],Mapping_Device_Results_by_TOPIC[[#This Row],[Topics]],Mapping_Devices_Workstation_Desktop[Total emissions (kgC02e)])</f>
        <v>246.18138750000003</v>
      </c>
      <c r="F21" s="123">
        <f>SUMIF(Mapping_Devices_Screens[NIST Topic],Mapping_Device_Results_by_TOPIC[[#This Row],[Topics]],Mapping_Devices_Screens[Total emissions (kgC02e)])</f>
        <v>0</v>
      </c>
      <c r="G21" s="123">
        <f>SUMIF(Mapping_Devices_Smartphone[NIST Topic],Mapping_Device_Results_by_TOPIC[[#This Row],[Topics]],Mapping_Devices_Smartphone[Total emissions (kgC02e)])</f>
        <v>0</v>
      </c>
    </row>
    <row r="22" spans="1:7" outlineLevel="1">
      <c r="B22" t="s">
        <v>20</v>
      </c>
      <c r="C22" s="123">
        <f>SUM(Mapping_Device_Results_by_TOPIC[[#This Row],[Workstation_Laptop]:[Smartphones]])</f>
        <v>21934.199041666667</v>
      </c>
      <c r="D22" s="123">
        <f>SUMIF(Mapping_Devices_Workstation_Laptop[NIST Topic],Mapping_Device_Results_by_TOPIC[[#This Row],[Topics]],Mapping_Devices_Workstation_Laptop[Total emissions (kgC02e)])</f>
        <v>13498.297500000001</v>
      </c>
      <c r="E22" s="123">
        <f>SUMIF(Mapping_Devices_Workstation_Desktop[NIST Topic],Mapping_Device_Results_by_TOPIC[[#This Row],[Topics]],Mapping_Devices_Workstation_Desktop[Total emissions (kgC02e)])</f>
        <v>2461.8138750000003</v>
      </c>
      <c r="F22" s="123">
        <f>SUMIF(Mapping_Devices_Screens[NIST Topic],Mapping_Device_Results_by_TOPIC[[#This Row],[Topics]],Mapping_Devices_Screens[Total emissions (kgC02e)])</f>
        <v>5328.5125000000007</v>
      </c>
      <c r="G22" s="123">
        <f>SUMIF(Mapping_Devices_Smartphone[NIST Topic],Mapping_Device_Results_by_TOPIC[[#This Row],[Topics]],Mapping_Devices_Smartphone[Total emissions (kgC02e)])</f>
        <v>645.57516666666641</v>
      </c>
    </row>
    <row r="23" spans="1:7" outlineLevel="1">
      <c r="B23" t="s">
        <v>21</v>
      </c>
      <c r="C23" s="123">
        <f>SUM(Mapping_Device_Results_by_TOPIC[[#This Row],[Workstation_Laptop]:[Smartphones]])</f>
        <v>0</v>
      </c>
      <c r="D23" s="123">
        <f>SUMIF(Mapping_Devices_Workstation_Laptop[NIST Topic],Mapping_Device_Results_by_TOPIC[[#This Row],[Topics]],Mapping_Devices_Workstation_Laptop[Total emissions (kgC02e)])</f>
        <v>0</v>
      </c>
      <c r="E23" s="123">
        <f>SUMIF(Mapping_Devices_Workstation_Desktop[NIST Topic],Mapping_Device_Results_by_TOPIC[[#This Row],[Topics]],Mapping_Devices_Workstation_Desktop[Total emissions (kgC02e)])</f>
        <v>0</v>
      </c>
      <c r="F23" s="123">
        <f>SUMIF(Mapping_Devices_Screens[NIST Topic],Mapping_Device_Results_by_TOPIC[[#This Row],[Topics]],Mapping_Devices_Screens[Total emissions (kgC02e)])</f>
        <v>0</v>
      </c>
      <c r="G23" s="123">
        <f>SUMIF(Mapping_Devices_Smartphone[NIST Topic],Mapping_Device_Results_by_TOPIC[[#This Row],[Topics]],Mapping_Devices_Smartphone[Total emissions (kgC02e)])</f>
        <v>0</v>
      </c>
    </row>
    <row r="24" spans="1:7" outlineLevel="1">
      <c r="B24" t="s">
        <v>22</v>
      </c>
      <c r="C24" s="123">
        <f>SUM(Mapping_Device_Results_by_TOPIC[[#This Row],[Workstation_Laptop]:[Smartphones]])</f>
        <v>0</v>
      </c>
      <c r="D24" s="123">
        <f>SUMIF(Mapping_Devices_Workstation_Laptop[NIST Topic],Mapping_Device_Results_by_TOPIC[[#This Row],[Topics]],Mapping_Devices_Workstation_Laptop[Total emissions (kgC02e)])</f>
        <v>0</v>
      </c>
      <c r="E24" s="123">
        <f>SUMIF(Mapping_Devices_Workstation_Desktop[NIST Topic],Mapping_Device_Results_by_TOPIC[[#This Row],[Topics]],Mapping_Devices_Workstation_Desktop[Total emissions (kgC02e)])</f>
        <v>0</v>
      </c>
      <c r="F24" s="123">
        <f>SUMIF(Mapping_Devices_Screens[NIST Topic],Mapping_Device_Results_by_TOPIC[[#This Row],[Topics]],Mapping_Devices_Screens[Total emissions (kgC02e)])</f>
        <v>0</v>
      </c>
      <c r="G24" s="123">
        <f>SUMIF(Mapping_Devices_Smartphone[NIST Topic],Mapping_Device_Results_by_TOPIC[[#This Row],[Topics]],Mapping_Devices_Smartphone[Total emissions (kgC02e)])</f>
        <v>0</v>
      </c>
    </row>
    <row r="25" spans="1:7" outlineLevel="1">
      <c r="B25" t="s">
        <v>23</v>
      </c>
      <c r="C25" s="123">
        <f>SUM(Mapping_Device_Results_by_TOPIC[[#This Row],[Workstation_Laptop]:[Smartphones]])</f>
        <v>0</v>
      </c>
      <c r="D25" s="123">
        <f>SUMIF(Mapping_Devices_Workstation_Laptop[NIST Topic],Mapping_Device_Results_by_TOPIC[[#This Row],[Topics]],Mapping_Devices_Workstation_Laptop[Total emissions (kgC02e)])</f>
        <v>0</v>
      </c>
      <c r="E25" s="123">
        <f>SUMIF(Mapping_Devices_Workstation_Desktop[NIST Topic],Mapping_Device_Results_by_TOPIC[[#This Row],[Topics]],Mapping_Devices_Workstation_Desktop[Total emissions (kgC02e)])</f>
        <v>0</v>
      </c>
      <c r="F25" s="123">
        <f>SUMIF(Mapping_Devices_Screens[NIST Topic],Mapping_Device_Results_by_TOPIC[[#This Row],[Topics]],Mapping_Devices_Screens[Total emissions (kgC02e)])</f>
        <v>0</v>
      </c>
      <c r="G25" s="123">
        <f>SUMIF(Mapping_Devices_Smartphone[NIST Topic],Mapping_Device_Results_by_TOPIC[[#This Row],[Topics]],Mapping_Devices_Smartphone[Total emissions (kgC02e)])</f>
        <v>0</v>
      </c>
    </row>
    <row r="26" spans="1:7" outlineLevel="1">
      <c r="B26" t="s">
        <v>24</v>
      </c>
      <c r="C26" s="123">
        <f>SUM(Mapping_Device_Results_by_TOPIC[[#This Row],[Workstation_Laptop]:[Smartphones]])</f>
        <v>0</v>
      </c>
      <c r="D26" s="123">
        <f>SUMIF(Mapping_Devices_Workstation_Laptop[NIST Topic],Mapping_Device_Results_by_TOPIC[[#This Row],[Topics]],Mapping_Devices_Workstation_Laptop[Total emissions (kgC02e)])</f>
        <v>0</v>
      </c>
      <c r="E26" s="123">
        <f>SUMIF(Mapping_Devices_Workstation_Desktop[NIST Topic],Mapping_Device_Results_by_TOPIC[[#This Row],[Topics]],Mapping_Devices_Workstation_Desktop[Total emissions (kgC02e)])</f>
        <v>0</v>
      </c>
      <c r="F26" s="123">
        <f>SUMIF(Mapping_Devices_Screens[NIST Topic],Mapping_Device_Results_by_TOPIC[[#This Row],[Topics]],Mapping_Devices_Screens[Total emissions (kgC02e)])</f>
        <v>0</v>
      </c>
      <c r="G26" s="123">
        <f>SUMIF(Mapping_Devices_Smartphone[NIST Topic],Mapping_Device_Results_by_TOPIC[[#This Row],[Topics]],Mapping_Devices_Smartphone[Total emissions (kgC02e)])</f>
        <v>0</v>
      </c>
    </row>
    <row r="27" spans="1:7" outlineLevel="1">
      <c r="B27" t="s">
        <v>25</v>
      </c>
      <c r="C27" s="123">
        <f>SUM(Mapping_Device_Results_by_TOPIC[[#This Row],[Workstation_Laptop]:[Smartphones]])</f>
        <v>127.50221250000001</v>
      </c>
      <c r="D27" s="123">
        <f>SUMIF(Mapping_Devices_Workstation_Laptop[NIST Topic],Mapping_Device_Results_by_TOPIC[[#This Row],[Topics]],Mapping_Devices_Workstation_Laptop[Total emissions (kgC02e)])</f>
        <v>102.18</v>
      </c>
      <c r="E27" s="123">
        <f>SUMIF(Mapping_Devices_Workstation_Desktop[NIST Topic],Mapping_Device_Results_by_TOPIC[[#This Row],[Topics]],Mapping_Devices_Workstation_Desktop[Total emissions (kgC02e)])</f>
        <v>25.322212499999999</v>
      </c>
      <c r="F27" s="123">
        <f>SUMIF(Mapping_Devices_Screens[NIST Topic],Mapping_Device_Results_by_TOPIC[[#This Row],[Topics]],Mapping_Devices_Screens[Total emissions (kgC02e)])</f>
        <v>0</v>
      </c>
      <c r="G27" s="123">
        <f>SUMIF(Mapping_Devices_Smartphone[NIST Topic],Mapping_Device_Results_by_TOPIC[[#This Row],[Topics]],Mapping_Devices_Smartphone[Total emissions (kgC02e)])</f>
        <v>0</v>
      </c>
    </row>
    <row r="28" spans="1:7" outlineLevel="1">
      <c r="B28" t="s">
        <v>26</v>
      </c>
      <c r="C28" s="123">
        <f>SUM(Mapping_Device_Results_by_TOPIC[[#This Row],[Workstation_Laptop]:[Smartphones]])</f>
        <v>0</v>
      </c>
      <c r="D28" s="123">
        <f>SUMIF(Mapping_Devices_Workstation_Laptop[NIST Topic],Mapping_Device_Results_by_TOPIC[[#This Row],[Topics]],Mapping_Devices_Workstation_Laptop[Total emissions (kgC02e)])</f>
        <v>0</v>
      </c>
      <c r="E28" s="123">
        <f>SUMIF(Mapping_Devices_Workstation_Desktop[NIST Topic],Mapping_Device_Results_by_TOPIC[[#This Row],[Topics]],Mapping_Devices_Workstation_Desktop[Total emissions (kgC02e)])</f>
        <v>0</v>
      </c>
      <c r="F28" s="123">
        <f>SUMIF(Mapping_Devices_Screens[NIST Topic],Mapping_Device_Results_by_TOPIC[[#This Row],[Topics]],Mapping_Devices_Screens[Total emissions (kgC02e)])</f>
        <v>0</v>
      </c>
      <c r="G28" s="123">
        <f>SUMIF(Mapping_Devices_Smartphone[NIST Topic],Mapping_Device_Results_by_TOPIC[[#This Row],[Topics]],Mapping_Devices_Smartphone[Total emissions (kgC02e)])</f>
        <v>0</v>
      </c>
    </row>
    <row r="29" spans="1:7" outlineLevel="1">
      <c r="B29" t="s">
        <v>27</v>
      </c>
      <c r="C29" s="123">
        <f>SUM(Mapping_Device_Results_by_TOPIC[[#This Row],[Workstation_Laptop]:[Smartphones]])</f>
        <v>0</v>
      </c>
      <c r="D29" s="123">
        <f>SUMIF(Mapping_Devices_Workstation_Laptop[NIST Topic],Mapping_Device_Results_by_TOPIC[[#This Row],[Topics]],Mapping_Devices_Workstation_Laptop[Total emissions (kgC02e)])</f>
        <v>0</v>
      </c>
      <c r="E29" s="123">
        <f>SUMIF(Mapping_Devices_Workstation_Desktop[NIST Topic],Mapping_Device_Results_by_TOPIC[[#This Row],[Topics]],Mapping_Devices_Workstation_Desktop[Total emissions (kgC02e)])</f>
        <v>0</v>
      </c>
      <c r="F29" s="123">
        <f>SUMIF(Mapping_Devices_Screens[NIST Topic],Mapping_Device_Results_by_TOPIC[[#This Row],[Topics]],Mapping_Devices_Screens[Total emissions (kgC02e)])</f>
        <v>0</v>
      </c>
      <c r="G29" s="123">
        <f>SUMIF(Mapping_Devices_Smartphone[NIST Topic],Mapping_Device_Results_by_TOPIC[[#This Row],[Topics]],Mapping_Devices_Smartphone[Total emissions (kgC02e)])</f>
        <v>0</v>
      </c>
    </row>
    <row r="30" spans="1:7">
      <c r="B30" t="s">
        <v>367</v>
      </c>
      <c r="C30" s="123">
        <f>SUBTOTAL(109,Mapping_Device_Results_by_TOPIC[Total Devices emissions (kgCO2e)])</f>
        <v>23657.712391666668</v>
      </c>
      <c r="D30" s="123">
        <f>SUBTOTAL(109,Mapping_Device_Results_by_TOPIC[Workstation_Laptop])</f>
        <v>14950.307250000002</v>
      </c>
      <c r="E30" s="123">
        <f>SUBTOTAL(109,Mapping_Device_Results_by_TOPIC[Workstation_Desktop])</f>
        <v>2733.3174750000007</v>
      </c>
      <c r="F30" s="123">
        <f>SUBTOTAL(109,Mapping_Device_Results_by_TOPIC[Screens])</f>
        <v>5328.5125000000007</v>
      </c>
      <c r="G30" s="123">
        <f>SUBTOTAL(109,Mapping_Device_Results_by_TOPIC[Smartphones])</f>
        <v>645.57516666666641</v>
      </c>
    </row>
    <row r="31" spans="1:7">
      <c r="A31"/>
    </row>
    <row r="32" spans="1:7" ht="21">
      <c r="A32" s="98" t="s">
        <v>244</v>
      </c>
    </row>
    <row r="33" spans="1:11" s="25" customFormat="1" ht="15" customHeight="1">
      <c r="B33" s="96" t="s">
        <v>245</v>
      </c>
      <c r="C33" s="96" t="s">
        <v>368</v>
      </c>
      <c r="D33" s="96" t="s">
        <v>28</v>
      </c>
      <c r="E33" s="96" t="s">
        <v>29</v>
      </c>
      <c r="F33" s="96" t="s">
        <v>369</v>
      </c>
      <c r="G33" s="58" t="s">
        <v>252</v>
      </c>
      <c r="H33" s="58" t="s">
        <v>253</v>
      </c>
      <c r="I33" s="58" t="s">
        <v>254</v>
      </c>
    </row>
    <row r="34" spans="1:11" ht="15" customHeight="1">
      <c r="B34" s="167" t="s">
        <v>255</v>
      </c>
      <c r="C34" s="101"/>
      <c r="D34" s="125" t="s">
        <v>101</v>
      </c>
      <c r="E34" s="95" t="str">
        <f>_xlfn.XLOOKUP(Mapping_Devices_Workstation_Laptop[[#This Row],[NIST Control]],Referential_NIST_Control[NIST Control],Referential_NIST_Control[NIST Topic])</f>
        <v>GOV</v>
      </c>
      <c r="F34" s="122">
        <v>1</v>
      </c>
      <c r="G34" s="123">
        <f>'1.1 Cyber devices'!$I$15</f>
        <v>3280.2975000000006</v>
      </c>
      <c r="H34" s="123">
        <f>'1.1 Cyber devices'!$J$15</f>
        <v>10218</v>
      </c>
      <c r="I34" s="123">
        <f>Mapping_Devices_Workstation_Laptop[[#This Row],[Scope 2 (kgC02e)]]+Mapping_Devices_Workstation_Laptop[[#This Row],[Scope 3 (kgC02e)]]</f>
        <v>13498.297500000001</v>
      </c>
      <c r="K34" s="144"/>
    </row>
    <row r="35" spans="1:11" ht="15" customHeight="1">
      <c r="B35" s="167" t="s">
        <v>256</v>
      </c>
      <c r="C35" s="101"/>
      <c r="D35" s="125" t="s">
        <v>85</v>
      </c>
      <c r="E35" s="95" t="str">
        <f>_xlfn.XLOOKUP(Mapping_Devices_Workstation_Laptop[[#This Row],[NIST Control]],Referential_NIST_Control[NIST Control],Referential_NIST_Control[NIST Topic])</f>
        <v>ENDPT</v>
      </c>
      <c r="F35" s="122">
        <v>1</v>
      </c>
      <c r="G35" s="123">
        <f>'1.1 Cyber devices'!I16*Mapping_Devices_Workstation_Laptop[[#This Row],[% Dedicated to cyber]]</f>
        <v>328.02975000000004</v>
      </c>
      <c r="H35" s="123">
        <f>'1.1 Cyber devices'!J16*Mapping_Devices_Workstation_Laptop[[#This Row],[% Dedicated to cyber]]</f>
        <v>1021.8</v>
      </c>
      <c r="I35" s="123">
        <f>Mapping_Devices_Workstation_Laptop[[#This Row],[Scope 2 (kgC02e)]]+Mapping_Devices_Workstation_Laptop[[#This Row],[Scope 3 (kgC02e)]]</f>
        <v>1349.8297499999999</v>
      </c>
      <c r="K35" s="144"/>
    </row>
    <row r="36" spans="1:11" ht="15" customHeight="1">
      <c r="B36" s="167" t="s">
        <v>257</v>
      </c>
      <c r="C36" s="101"/>
      <c r="D36" s="125" t="s">
        <v>159</v>
      </c>
      <c r="E36" s="95" t="str">
        <f>_xlfn.XLOOKUP(Mapping_Devices_Workstation_Laptop[[#This Row],[NIST Control]],Referential_NIST_Control[NIST Control],Referential_NIST_Control[NIST Topic])</f>
        <v>RES</v>
      </c>
      <c r="F36" s="122">
        <v>1</v>
      </c>
      <c r="G36" s="123">
        <f>'1.1 Cyber devices'!I17*Mapping_Devices_Workstation_Laptop[[#This Row],[% Dedicated to cyber]]</f>
        <v>0</v>
      </c>
      <c r="H36" s="123">
        <f>'1.1 Cyber devices'!J17*Mapping_Devices_Workstation_Laptop[[#This Row],[% Dedicated to cyber]]</f>
        <v>102.18</v>
      </c>
      <c r="I36" s="123">
        <f>Mapping_Devices_Workstation_Laptop[[#This Row],[Scope 2 (kgC02e)]]+Mapping_Devices_Workstation_Laptop[[#This Row],[Scope 3 (kgC02e)]]</f>
        <v>102.18</v>
      </c>
      <c r="K36" s="144"/>
    </row>
    <row r="37" spans="1:11" ht="15" customHeight="1">
      <c r="K37" s="144"/>
    </row>
    <row r="38" spans="1:11" ht="15" customHeight="1">
      <c r="K38" s="144"/>
    </row>
    <row r="39" spans="1:11" ht="15" customHeight="1">
      <c r="A39" s="98" t="s">
        <v>259</v>
      </c>
      <c r="K39" s="144"/>
    </row>
    <row r="40" spans="1:11" ht="15" customHeight="1">
      <c r="B40" s="96" t="s">
        <v>245</v>
      </c>
      <c r="C40" s="96" t="s">
        <v>368</v>
      </c>
      <c r="D40" s="96" t="s">
        <v>28</v>
      </c>
      <c r="E40" s="96" t="s">
        <v>29</v>
      </c>
      <c r="F40" s="96" t="s">
        <v>369</v>
      </c>
      <c r="G40" s="58" t="s">
        <v>252</v>
      </c>
      <c r="H40" s="58" t="s">
        <v>253</v>
      </c>
      <c r="I40" s="58" t="s">
        <v>254</v>
      </c>
      <c r="K40" s="144"/>
    </row>
    <row r="41" spans="1:11" ht="15" customHeight="1">
      <c r="B41" s="167" t="s">
        <v>255</v>
      </c>
      <c r="C41" s="201"/>
      <c r="D41" s="125" t="s">
        <v>101</v>
      </c>
      <c r="E41" s="95" t="str">
        <f>_xlfn.XLOOKUP(Mapping_Devices_Workstation_Desktop[[#This Row],[NIST Control]],Referential_NIST_Control[NIST Control],Referential_NIST_Control[NIST Topic])</f>
        <v>GOV</v>
      </c>
      <c r="F41" s="122">
        <v>1</v>
      </c>
      <c r="G41" s="123">
        <f>'1.1 Cyber devices'!$I$22</f>
        <v>1702.1475000000003</v>
      </c>
      <c r="H41" s="123">
        <f>'1.1 Cyber devices'!$J$22</f>
        <v>759.66637500000002</v>
      </c>
      <c r="I41" s="123">
        <f>Mapping_Devices_Workstation_Desktop[[#This Row],[Scope 2 (kgC02e)]]+Mapping_Devices_Workstation_Desktop[[#This Row],[Scope 3 (kgC02e)]]</f>
        <v>2461.8138750000003</v>
      </c>
      <c r="K41" s="144"/>
    </row>
    <row r="42" spans="1:11">
      <c r="B42" s="167" t="s">
        <v>256</v>
      </c>
      <c r="C42" s="201"/>
      <c r="D42" s="125" t="s">
        <v>85</v>
      </c>
      <c r="E42" s="95" t="str">
        <f>_xlfn.XLOOKUP(Mapping_Devices_Workstation_Desktop[[#This Row],[NIST Control]],Referential_NIST_Control[NIST Control],Referential_NIST_Control[NIST Topic])</f>
        <v>ENDPT</v>
      </c>
      <c r="F42" s="122">
        <v>1</v>
      </c>
      <c r="G42" s="123">
        <f>'1.1 Cyber devices'!I23*Mapping_Devices_Workstation_Desktop[[#This Row],[% Dedicated to cyber]]</f>
        <v>170.21475000000004</v>
      </c>
      <c r="H42" s="123">
        <f>'1.1 Cyber devices'!J23*Mapping_Devices_Workstation_Desktop[[#This Row],[% Dedicated to cyber]]</f>
        <v>75.96663749999999</v>
      </c>
      <c r="I42" s="123">
        <f>Mapping_Devices_Workstation_Desktop[[#This Row],[Scope 2 (kgC02e)]]+Mapping_Devices_Workstation_Desktop[[#This Row],[Scope 3 (kgC02e)]]</f>
        <v>246.18138750000003</v>
      </c>
    </row>
    <row r="43" spans="1:11">
      <c r="B43" s="167" t="s">
        <v>257</v>
      </c>
      <c r="C43" s="201"/>
      <c r="D43" s="125" t="s">
        <v>159</v>
      </c>
      <c r="E43" s="95" t="str">
        <f>_xlfn.XLOOKUP(Mapping_Devices_Workstation_Desktop[[#This Row],[NIST Control]],Referential_NIST_Control[NIST Control],Referential_NIST_Control[NIST Topic])</f>
        <v>RES</v>
      </c>
      <c r="F43" s="122">
        <v>1</v>
      </c>
      <c r="G43" s="123">
        <f>'1.1 Cyber devices'!I24*Mapping_Devices_Workstation_Desktop[[#This Row],[% Dedicated to cyber]]</f>
        <v>0</v>
      </c>
      <c r="H43" s="123">
        <f>'1.1 Cyber devices'!J24*Mapping_Devices_Workstation_Desktop[[#This Row],[% Dedicated to cyber]]</f>
        <v>25.322212499999999</v>
      </c>
      <c r="I43" s="123">
        <f>Mapping_Devices_Workstation_Desktop[[#This Row],[Scope 2 (kgC02e)]]+Mapping_Devices_Workstation_Desktop[[#This Row],[Scope 3 (kgC02e)]]</f>
        <v>25.322212499999999</v>
      </c>
    </row>
    <row r="45" spans="1:11" s="25" customFormat="1" ht="15" customHeight="1">
      <c r="B45" s="26"/>
      <c r="C45" s="26"/>
      <c r="D45" s="26"/>
      <c r="E45" s="26"/>
      <c r="F45" s="26"/>
      <c r="G45" s="26"/>
      <c r="H45" s="26"/>
      <c r="I45" s="26"/>
    </row>
    <row r="46" spans="1:11" ht="15" customHeight="1">
      <c r="A46" s="98" t="s">
        <v>260</v>
      </c>
      <c r="K46" s="144"/>
    </row>
    <row r="47" spans="1:11" ht="15" customHeight="1">
      <c r="B47" s="58" t="s">
        <v>245</v>
      </c>
      <c r="C47" s="96" t="s">
        <v>368</v>
      </c>
      <c r="D47" s="96" t="s">
        <v>28</v>
      </c>
      <c r="E47" s="96" t="s">
        <v>29</v>
      </c>
      <c r="F47" s="58" t="s">
        <v>252</v>
      </c>
      <c r="G47" s="58" t="s">
        <v>253</v>
      </c>
      <c r="H47" s="58" t="s">
        <v>254</v>
      </c>
      <c r="K47" s="144"/>
    </row>
    <row r="48" spans="1:11" ht="15" customHeight="1">
      <c r="B48" s="168" t="s">
        <v>261</v>
      </c>
      <c r="C48" s="102"/>
      <c r="D48" s="126" t="s">
        <v>101</v>
      </c>
      <c r="E48" s="95" t="str">
        <f>_xlfn.XLOOKUP(Mapping_Devices_Screens[[#This Row],[NIST Control]],Referential_NIST_Control[NIST Control],Referential_NIST_Control[NIST Topic])</f>
        <v>GOV</v>
      </c>
      <c r="F48" s="123" cm="1">
        <f t="array" ref="F48">Tableau43940[Scope 2 (kgC02e)]</f>
        <v>4076.8875000000003</v>
      </c>
      <c r="G48" s="123" cm="1">
        <f t="array" ref="G48">Tableau43940[Scope 3 (kgC02e)]</f>
        <v>1251.625</v>
      </c>
      <c r="H48" s="123" cm="1">
        <f t="array" ref="H48">Tableau43940[Total emissions (kgC02e)]</f>
        <v>5328.5125000000007</v>
      </c>
      <c r="K48" s="144"/>
    </row>
    <row r="49" spans="1:11" ht="15" customHeight="1">
      <c r="K49" s="144"/>
    </row>
    <row r="50" spans="1:11" ht="15" customHeight="1">
      <c r="K50" s="144"/>
    </row>
    <row r="51" spans="1:11" ht="21">
      <c r="A51" s="98" t="s">
        <v>263</v>
      </c>
    </row>
    <row r="52" spans="1:11">
      <c r="B52" s="58" t="s">
        <v>245</v>
      </c>
      <c r="C52" s="96" t="s">
        <v>368</v>
      </c>
      <c r="D52" s="96" t="s">
        <v>28</v>
      </c>
      <c r="E52" s="96" t="s">
        <v>29</v>
      </c>
      <c r="F52" s="58" t="s">
        <v>252</v>
      </c>
      <c r="G52" s="58" t="s">
        <v>253</v>
      </c>
      <c r="H52" s="58" t="s">
        <v>254</v>
      </c>
    </row>
    <row r="53" spans="1:11">
      <c r="B53" s="168" t="s">
        <v>265</v>
      </c>
      <c r="C53" s="102"/>
      <c r="D53" s="126" t="s">
        <v>101</v>
      </c>
      <c r="E53" s="95" t="str">
        <f>_xlfn.XLOOKUP(Mapping_Devices_Smartphone[[#This Row],[NIST Control]],Referential_NIST_Control[NIST Control],Referential_NIST_Control[NIST Topic])</f>
        <v>GOV</v>
      </c>
      <c r="F53" s="123" cm="1">
        <f t="array" ref="F53">Devices_Smartphones[Scope 2 (kgC02e)]</f>
        <v>29.308499999999999</v>
      </c>
      <c r="G53" s="123" cm="1">
        <f t="array" ref="G53">Devices_Smartphones[Scope 3 (kgC02e)]</f>
        <v>616.26666666666642</v>
      </c>
      <c r="H53" s="123" cm="1">
        <f t="array" ref="H53">Devices_Smartphones[Total emissions (kgC02e)]</f>
        <v>645.57516666666641</v>
      </c>
    </row>
    <row r="61" spans="1:11">
      <c r="J61" s="144"/>
    </row>
    <row r="66" spans="10:10">
      <c r="J66" s="14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208D-D1C5-4818-8BE3-BE4BB9671E1A}">
  <sheetPr>
    <tabColor theme="5" tint="0.79998168889431442"/>
  </sheetPr>
  <dimension ref="A2:H36"/>
  <sheetViews>
    <sheetView showGridLines="0" topLeftCell="A11" zoomScale="70" zoomScaleNormal="70" workbookViewId="0">
      <selection activeCell="C6" sqref="C6"/>
    </sheetView>
  </sheetViews>
  <sheetFormatPr defaultColWidth="8.85546875" defaultRowHeight="14.45" outlineLevelRow="1"/>
  <cols>
    <col min="1" max="1" width="37.5703125" style="26" customWidth="1"/>
    <col min="2" max="2" width="44.42578125" style="26" customWidth="1"/>
    <col min="3" max="3" width="16.85546875" style="26" customWidth="1"/>
    <col min="4" max="4" width="20.140625" style="26" bestFit="1" customWidth="1"/>
    <col min="5" max="5" width="20.85546875" style="26" customWidth="1"/>
    <col min="6" max="6" width="22.42578125" style="26" customWidth="1"/>
    <col min="7" max="8" width="26.42578125" style="26" customWidth="1"/>
    <col min="9" max="9" width="32.5703125" style="26" customWidth="1"/>
    <col min="10" max="16384" width="8.85546875" style="26"/>
  </cols>
  <sheetData>
    <row r="2" spans="1:3" ht="15.6">
      <c r="A2" s="196" t="s">
        <v>216</v>
      </c>
      <c r="B2"/>
    </row>
    <row r="3" spans="1:3" ht="15.6">
      <c r="A3"/>
      <c r="B3" s="160" t="s">
        <v>217</v>
      </c>
    </row>
    <row r="4" spans="1:3" ht="29.1">
      <c r="A4"/>
      <c r="B4" s="227" t="s">
        <v>228</v>
      </c>
    </row>
    <row r="5" spans="1:3" ht="29.1">
      <c r="A5"/>
      <c r="B5" s="224" t="s">
        <v>219</v>
      </c>
    </row>
    <row r="6" spans="1:3" ht="29.1">
      <c r="A6"/>
      <c r="B6" s="228" t="s">
        <v>220</v>
      </c>
    </row>
    <row r="7" spans="1:3" ht="29.1">
      <c r="A7"/>
      <c r="B7" s="229" t="s">
        <v>229</v>
      </c>
    </row>
    <row r="8" spans="1:3">
      <c r="B8" s="166" t="s">
        <v>221</v>
      </c>
    </row>
    <row r="10" spans="1:3" ht="15.6">
      <c r="A10" s="196" t="s">
        <v>222</v>
      </c>
    </row>
    <row r="11" spans="1:3">
      <c r="B11" s="152" t="s">
        <v>370</v>
      </c>
      <c r="C11" s="153">
        <f>SUM(Mapping_Network_Results_by_TOPIC[Appliances emissions (kgCO2e)])/1000</f>
        <v>50.439283268571423</v>
      </c>
    </row>
    <row r="12" spans="1:3">
      <c r="B12" s="154" t="str">
        <f>"Scope 2 "&amp;B11</f>
        <v>Scope 2 Network emissions (tCO2e)</v>
      </c>
      <c r="C12" s="153">
        <f>SUM(Mapping_Appliance[Scope 2 (kgC02e)])/1000</f>
        <v>27.451311839999995</v>
      </c>
    </row>
    <row r="13" spans="1:3">
      <c r="B13" s="154" t="str">
        <f>"Scope 3 "&amp;B11</f>
        <v>Scope 3 Network emissions (tCO2e)</v>
      </c>
      <c r="C13" s="153">
        <f>SUM(Mapping_Appliance[Scope 3 (kgC02e)])/1000</f>
        <v>22.987971428571431</v>
      </c>
    </row>
    <row r="15" spans="1:3" ht="43.5" outlineLevel="1">
      <c r="B15" s="113" t="s">
        <v>13</v>
      </c>
      <c r="C15" s="113" t="s">
        <v>371</v>
      </c>
    </row>
    <row r="16" spans="1:3" outlineLevel="1">
      <c r="B16" s="111" t="s">
        <v>14</v>
      </c>
      <c r="C16" s="155">
        <f>SUMIF(Mapping_Appliance[NIST Topic],Mapping_Network_Results_by_TOPIC[[#This Row],[Topics]],Mapping_Appliance[Total emissions (kgC02e)])</f>
        <v>0</v>
      </c>
    </row>
    <row r="17" spans="1:3" outlineLevel="1">
      <c r="B17" s="111" t="s">
        <v>15</v>
      </c>
      <c r="C17" s="155">
        <f>SUMIF(Mapping_Appliance[NIST Topic],Mapping_Network_Results_by_TOPIC[[#This Row],[Topics]],Mapping_Appliance[Total emissions (kgC02e)])</f>
        <v>0</v>
      </c>
    </row>
    <row r="18" spans="1:3" outlineLevel="1">
      <c r="B18" s="111" t="s">
        <v>16</v>
      </c>
      <c r="C18" s="155">
        <f>SUMIF(Mapping_Appliance[NIST Topic],Mapping_Network_Results_by_TOPIC[[#This Row],[Topics]],Mapping_Appliance[Total emissions (kgC02e)])</f>
        <v>0</v>
      </c>
    </row>
    <row r="19" spans="1:3" outlineLevel="1">
      <c r="B19" s="111" t="s">
        <v>17</v>
      </c>
      <c r="C19" s="155">
        <f>SUMIF(Mapping_Appliance[NIST Topic],Mapping_Network_Results_by_TOPIC[[#This Row],[Topics]],Mapping_Appliance[Total emissions (kgC02e)])</f>
        <v>0</v>
      </c>
    </row>
    <row r="20" spans="1:3" outlineLevel="1">
      <c r="B20" s="111" t="s">
        <v>18</v>
      </c>
      <c r="C20" s="155">
        <f>SUMIF(Mapping_Appliance[NIST Topic],Mapping_Network_Results_by_TOPIC[[#This Row],[Topics]],Mapping_Appliance[Total emissions (kgC02e)])</f>
        <v>15972.790834285715</v>
      </c>
    </row>
    <row r="21" spans="1:3" outlineLevel="1">
      <c r="B21" s="111" t="s">
        <v>19</v>
      </c>
      <c r="C21" s="155">
        <f>SUMIF(Mapping_Appliance[NIST Topic],Mapping_Network_Results_by_TOPIC[[#This Row],[Topics]],Mapping_Appliance[Total emissions (kgC02e)])</f>
        <v>0</v>
      </c>
    </row>
    <row r="22" spans="1:3" outlineLevel="1">
      <c r="B22" s="111" t="s">
        <v>20</v>
      </c>
      <c r="C22" s="155">
        <f>SUMIF(Mapping_Appliance[NIST Topic],Mapping_Network_Results_by_TOPIC[[#This Row],[Topics]],Mapping_Appliance[Total emissions (kgC02e)])</f>
        <v>0</v>
      </c>
    </row>
    <row r="23" spans="1:3" outlineLevel="1">
      <c r="B23" s="111" t="s">
        <v>21</v>
      </c>
      <c r="C23" s="155">
        <f>SUMIF(Mapping_Appliance[NIST Topic],Mapping_Network_Results_by_TOPIC[[#This Row],[Topics]],Mapping_Appliance[Total emissions (kgC02e)])</f>
        <v>0</v>
      </c>
    </row>
    <row r="24" spans="1:3" outlineLevel="1">
      <c r="B24" s="111" t="s">
        <v>22</v>
      </c>
      <c r="C24" s="155">
        <f>SUMIF(Mapping_Appliance[NIST Topic],Mapping_Network_Results_by_TOPIC[[#This Row],[Topics]],Mapping_Appliance[Total emissions (kgC02e)])</f>
        <v>0</v>
      </c>
    </row>
    <row r="25" spans="1:3" outlineLevel="1">
      <c r="B25" s="111" t="s">
        <v>23</v>
      </c>
      <c r="C25" s="155">
        <f>SUMIF(Mapping_Appliance[NIST Topic],Mapping_Network_Results_by_TOPIC[[#This Row],[Topics]],Mapping_Appliance[Total emissions (kgC02e)])</f>
        <v>34466.492434285712</v>
      </c>
    </row>
    <row r="26" spans="1:3" outlineLevel="1">
      <c r="B26" s="111" t="s">
        <v>24</v>
      </c>
      <c r="C26" s="155">
        <f>SUMIF(Mapping_Appliance[NIST Topic],Mapping_Network_Results_by_TOPIC[[#This Row],[Topics]],Mapping_Appliance[Total emissions (kgC02e)])</f>
        <v>0</v>
      </c>
    </row>
    <row r="27" spans="1:3" outlineLevel="1">
      <c r="B27" s="111" t="s">
        <v>25</v>
      </c>
      <c r="C27" s="155">
        <f>SUMIF(Mapping_Appliance[NIST Topic],Mapping_Network_Results_by_TOPIC[[#This Row],[Topics]],Mapping_Appliance[Total emissions (kgC02e)])</f>
        <v>0</v>
      </c>
    </row>
    <row r="28" spans="1:3" outlineLevel="1">
      <c r="B28" s="111" t="s">
        <v>26</v>
      </c>
      <c r="C28" s="155">
        <f>SUMIF(Mapping_Appliance[NIST Topic],Mapping_Network_Results_by_TOPIC[[#This Row],[Topics]],Mapping_Appliance[Total emissions (kgC02e)])</f>
        <v>0</v>
      </c>
    </row>
    <row r="29" spans="1:3" outlineLevel="1">
      <c r="B29" s="111" t="s">
        <v>27</v>
      </c>
      <c r="C29" s="155">
        <f>SUMIF(Mapping_Appliance[NIST Topic],Mapping_Network_Results_by_TOPIC[[#This Row],[Topics]],Mapping_Appliance[Total emissions (kgC02e)])</f>
        <v>0</v>
      </c>
    </row>
    <row r="30" spans="1:3">
      <c r="B30" s="131" t="s">
        <v>367</v>
      </c>
      <c r="C30" s="95">
        <f>SUBTOTAL(109,Mapping_Network_Results_by_TOPIC[Appliances emissions (kgCO2e)])</f>
        <v>50439.283268571424</v>
      </c>
    </row>
    <row r="32" spans="1:3" ht="21">
      <c r="A32" s="98" t="s">
        <v>372</v>
      </c>
    </row>
    <row r="33" spans="2:8" s="25" customFormat="1" ht="15" customHeight="1">
      <c r="B33" s="96" t="s">
        <v>245</v>
      </c>
      <c r="C33" s="96" t="s">
        <v>368</v>
      </c>
      <c r="D33" s="96" t="s">
        <v>28</v>
      </c>
      <c r="E33" s="96" t="s">
        <v>29</v>
      </c>
      <c r="F33" s="58" t="s">
        <v>252</v>
      </c>
      <c r="G33" s="58" t="s">
        <v>253</v>
      </c>
      <c r="H33" s="58" t="s">
        <v>254</v>
      </c>
    </row>
    <row r="34" spans="2:8" ht="15" customHeight="1">
      <c r="B34" s="167" t="s">
        <v>266</v>
      </c>
      <c r="C34" s="101"/>
      <c r="D34" s="125" t="s">
        <v>127</v>
      </c>
      <c r="E34" s="95" t="str">
        <f>_xlfn.XLOOKUP(Mapping_Appliance[[#This Row],[NIST Control]],Referential_NIST_Control[NIST Control],Referential_NIST_Control[NIST Topic])</f>
        <v>NTW</v>
      </c>
      <c r="F34" s="123">
        <f>SUM(Network_Proxy[Scope 2 (kgC02e)])</f>
        <v>9616.7016000000003</v>
      </c>
      <c r="G34" s="123">
        <f>SUM(Network_Proxy[Scope 3 (kgC02e)])</f>
        <v>8877</v>
      </c>
      <c r="H34" s="123">
        <f>SUM(Network_Proxy[Total emissions (kgC02e)])</f>
        <v>18493.7016</v>
      </c>
    </row>
    <row r="35" spans="2:8" ht="15" customHeight="1">
      <c r="B35" s="167" t="s">
        <v>270</v>
      </c>
      <c r="C35" s="101"/>
      <c r="D35" s="125" t="s">
        <v>113</v>
      </c>
      <c r="E35" s="95" t="str">
        <f>_xlfn.XLOOKUP(Mapping_Appliance[[#This Row],[NIST Control]],Referential_NIST_Control[NIST Control],Referential_NIST_Control[NIST Topic])</f>
        <v>NTW</v>
      </c>
      <c r="F35" s="123">
        <f>SUM(Network_Firewall[Scope 2 (kgC02e)])</f>
        <v>8917.3051199999991</v>
      </c>
      <c r="G35" s="123">
        <f>SUM(Network_Firewall[Scope 3 (kgC02e)])</f>
        <v>7055.4857142857145</v>
      </c>
      <c r="H35" s="123">
        <f>SUM(Network_Firewall[Total emissions (kgC02e)])</f>
        <v>15972.790834285715</v>
      </c>
    </row>
    <row r="36" spans="2:8" ht="15" customHeight="1">
      <c r="B36" s="167" t="s">
        <v>271</v>
      </c>
      <c r="C36" s="101"/>
      <c r="D36" s="125" t="s">
        <v>75</v>
      </c>
      <c r="E36" s="95" t="str">
        <f>_xlfn.XLOOKUP(Mapping_Appliance[[#This Row],[NIST Control]],Referential_NIST_Control[NIST Control],Referential_NIST_Control[NIST Topic])</f>
        <v>DET</v>
      </c>
      <c r="F36" s="123">
        <f>SUM(Network_IPS_IDS[Scope 2 (kgC02e)])</f>
        <v>8917.3051199999991</v>
      </c>
      <c r="G36" s="123">
        <f>SUM(Network_IPS_IDS[Scope 3 (kgC02e)])</f>
        <v>7055.4857142857145</v>
      </c>
      <c r="H36" s="123">
        <f>SUM(Network_IPS_IDS[Total emissions (kgC02e)])</f>
        <v>15972.790834285715</v>
      </c>
    </row>
  </sheetData>
  <pageMargins left="0.7" right="0.7" top="0.75" bottom="0.75" header="0.3" footer="0.3"/>
  <pageSetup paperSize="9" orientation="portrait"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8AFE-37AE-4197-BDBB-3D7AA58F2293}">
  <sheetPr>
    <tabColor theme="5" tint="0.79998168889431442"/>
  </sheetPr>
  <dimension ref="A2:H43"/>
  <sheetViews>
    <sheetView showGridLines="0" topLeftCell="A19" zoomScale="55" zoomScaleNormal="55" workbookViewId="0">
      <selection activeCell="C6" sqref="C6"/>
    </sheetView>
  </sheetViews>
  <sheetFormatPr defaultColWidth="11.42578125" defaultRowHeight="14.45"/>
  <cols>
    <col min="1" max="1" width="49.5703125" customWidth="1"/>
    <col min="2" max="2" width="40.85546875" customWidth="1"/>
    <col min="3" max="3" width="22.85546875" customWidth="1"/>
    <col min="4" max="4" width="29.85546875" customWidth="1"/>
    <col min="5" max="5" width="24.42578125" customWidth="1"/>
    <col min="6" max="6" width="16" customWidth="1"/>
    <col min="7" max="7" width="33.140625" customWidth="1"/>
    <col min="8" max="8" width="26" customWidth="1"/>
    <col min="9" max="9" width="26.140625" customWidth="1"/>
  </cols>
  <sheetData>
    <row r="2" spans="1:5" ht="15.6">
      <c r="A2" s="196" t="s">
        <v>216</v>
      </c>
    </row>
    <row r="3" spans="1:5" ht="15.6">
      <c r="B3" s="160" t="s">
        <v>217</v>
      </c>
    </row>
    <row r="4" spans="1:5" ht="29.1">
      <c r="B4" s="227" t="s">
        <v>228</v>
      </c>
    </row>
    <row r="5" spans="1:5" ht="29.1">
      <c r="B5" s="224" t="s">
        <v>219</v>
      </c>
    </row>
    <row r="6" spans="1:5" ht="29.1">
      <c r="B6" s="228" t="s">
        <v>220</v>
      </c>
    </row>
    <row r="7" spans="1:5" ht="29.1">
      <c r="B7" s="229" t="s">
        <v>229</v>
      </c>
    </row>
    <row r="8" spans="1:5">
      <c r="B8" s="164" t="s">
        <v>221</v>
      </c>
    </row>
    <row r="10" spans="1:5" ht="15.6">
      <c r="A10" s="196" t="s">
        <v>222</v>
      </c>
    </row>
    <row r="11" spans="1:5">
      <c r="B11" s="152" t="s">
        <v>373</v>
      </c>
      <c r="C11" s="156">
        <f>SUM(Mapping_Servers_Results_by_TOPIC[Total severs on premise emissions (kgCO2e)])/1000</f>
        <v>19.137024446195554</v>
      </c>
    </row>
    <row r="12" spans="1:5">
      <c r="B12" s="154" t="str">
        <f>"Scope 2 "&amp;B11</f>
        <v>Scope 2 Servers on premise emissions (tCO2e)</v>
      </c>
      <c r="C12" s="156">
        <f>SUM(Mapping_Servers_Backup[Scope 2 (kgC02e)])/1000</f>
        <v>6.4138688906399999</v>
      </c>
    </row>
    <row r="13" spans="1:5">
      <c r="B13" s="154" t="str">
        <f>"Scope 3 "&amp;B11</f>
        <v>Scope 3 Servers on premise emissions (tCO2e)</v>
      </c>
      <c r="C13" s="156">
        <f>SUM(Mapping_Servers_Backup[Scope 3 (kgC02e)])/1000</f>
        <v>12.723155555555556</v>
      </c>
    </row>
    <row r="15" spans="1:5" ht="29.1">
      <c r="B15" s="113" t="s">
        <v>13</v>
      </c>
      <c r="C15" s="113" t="s">
        <v>374</v>
      </c>
      <c r="D15" s="113" t="s">
        <v>195</v>
      </c>
      <c r="E15" s="113" t="s">
        <v>290</v>
      </c>
    </row>
    <row r="16" spans="1:5">
      <c r="B16" s="111" t="s">
        <v>14</v>
      </c>
      <c r="C16" s="157">
        <f>SUM(Mapping_Servers_Results_by_TOPIC[[#This Row],[Backup servers]:[Redundant servers]])</f>
        <v>0</v>
      </c>
      <c r="D16" s="157">
        <f>SUMIFS(Mapping_Servers_Backup[Total emissions (kgC02e)],Mapping_Servers_Backup[NIST Topic],Mapping_Servers_Results_by_TOPIC[[#This Row],[Topics]],Mapping_Servers_Backup[Scope],Mapping_Servers_Results_by_TOPIC[[#Headers],[Backup servers]])</f>
        <v>0</v>
      </c>
      <c r="E16" s="157">
        <f>SUMIFS(Mapping_Servers_Backup[Total emissions (kgC02e)],Mapping_Servers_Backup[NIST Topic],Mapping_Servers_Results_by_TOPIC[[#This Row],[Topics]],Mapping_Servers_Backup[Scope],Mapping_Servers_Results_by_TOPIC[[#Headers],[Redundant servers]])</f>
        <v>0</v>
      </c>
    </row>
    <row r="17" spans="2:5">
      <c r="B17" s="111" t="s">
        <v>15</v>
      </c>
      <c r="C17" s="157">
        <f>SUM(Mapping_Servers_Results_by_TOPIC[[#This Row],[Backup servers]:[Redundant servers]])</f>
        <v>0</v>
      </c>
      <c r="D17" s="157">
        <f>SUMIFS(Mapping_Servers_Backup[Total emissions (kgC02e)],Mapping_Servers_Backup[NIST Topic],Mapping_Servers_Results_by_TOPIC[[#This Row],[Topics]],Mapping_Servers_Backup[Scope],Mapping_Servers_Results_by_TOPIC[[#Headers],[Backup servers]])</f>
        <v>0</v>
      </c>
      <c r="E17" s="157">
        <f>SUMIFS(Mapping_Servers_Backup[Total emissions (kgC02e)],Mapping_Servers_Backup[NIST Topic],Mapping_Servers_Results_by_TOPIC[[#This Row],[Topics]],Mapping_Servers_Backup[Scope],Mapping_Servers_Results_by_TOPIC[[#Headers],[Redundant servers]])</f>
        <v>0</v>
      </c>
    </row>
    <row r="18" spans="2:5">
      <c r="B18" s="111" t="s">
        <v>16</v>
      </c>
      <c r="C18" s="157">
        <f>SUM(Mapping_Servers_Results_by_TOPIC[[#This Row],[Backup servers]:[Redundant servers]])</f>
        <v>0</v>
      </c>
      <c r="D18" s="157">
        <f>SUMIFS(Mapping_Servers_Backup[Total emissions (kgC02e)],Mapping_Servers_Backup[NIST Topic],Mapping_Servers_Results_by_TOPIC[[#This Row],[Topics]],Mapping_Servers_Backup[Scope],Mapping_Servers_Results_by_TOPIC[[#Headers],[Backup servers]])</f>
        <v>0</v>
      </c>
      <c r="E18" s="157">
        <f>SUMIFS(Mapping_Servers_Backup[Total emissions (kgC02e)],Mapping_Servers_Backup[NIST Topic],Mapping_Servers_Results_by_TOPIC[[#This Row],[Topics]],Mapping_Servers_Backup[Scope],Mapping_Servers_Results_by_TOPIC[[#Headers],[Redundant servers]])</f>
        <v>0</v>
      </c>
    </row>
    <row r="19" spans="2:5">
      <c r="B19" s="111" t="s">
        <v>17</v>
      </c>
      <c r="C19" s="157">
        <f>SUM(Mapping_Servers_Results_by_TOPIC[[#This Row],[Backup servers]:[Redundant servers]])</f>
        <v>0</v>
      </c>
      <c r="D19" s="157">
        <f>SUMIFS(Mapping_Servers_Backup[Total emissions (kgC02e)],Mapping_Servers_Backup[NIST Topic],Mapping_Servers_Results_by_TOPIC[[#This Row],[Topics]],Mapping_Servers_Backup[Scope],Mapping_Servers_Results_by_TOPIC[[#Headers],[Backup servers]])</f>
        <v>0</v>
      </c>
      <c r="E19" s="157">
        <f>SUMIFS(Mapping_Servers_Backup[Total emissions (kgC02e)],Mapping_Servers_Backup[NIST Topic],Mapping_Servers_Results_by_TOPIC[[#This Row],[Topics]],Mapping_Servers_Backup[Scope],Mapping_Servers_Results_by_TOPIC[[#Headers],[Redundant servers]])</f>
        <v>0</v>
      </c>
    </row>
    <row r="20" spans="2:5">
      <c r="B20" s="111" t="s">
        <v>18</v>
      </c>
      <c r="C20" s="157">
        <f>SUM(Mapping_Servers_Results_by_TOPIC[[#This Row],[Backup servers]:[Redundant servers]])</f>
        <v>0</v>
      </c>
      <c r="D20" s="157">
        <f>SUMIFS(Mapping_Servers_Backup[Total emissions (kgC02e)],Mapping_Servers_Backup[NIST Topic],Mapping_Servers_Results_by_TOPIC[[#This Row],[Topics]],Mapping_Servers_Backup[Scope],Mapping_Servers_Results_by_TOPIC[[#Headers],[Backup servers]])</f>
        <v>0</v>
      </c>
      <c r="E20" s="157">
        <f>SUMIFS(Mapping_Servers_Backup[Total emissions (kgC02e)],Mapping_Servers_Backup[NIST Topic],Mapping_Servers_Results_by_TOPIC[[#This Row],[Topics]],Mapping_Servers_Backup[Scope],Mapping_Servers_Results_by_TOPIC[[#Headers],[Redundant servers]])</f>
        <v>0</v>
      </c>
    </row>
    <row r="21" spans="2:5">
      <c r="B21" s="111" t="s">
        <v>19</v>
      </c>
      <c r="C21" s="157">
        <f>SUM(Mapping_Servers_Results_by_TOPIC[[#This Row],[Backup servers]:[Redundant servers]])</f>
        <v>0</v>
      </c>
      <c r="D21" s="157">
        <f>SUMIFS(Mapping_Servers_Backup[Total emissions (kgC02e)],Mapping_Servers_Backup[NIST Topic],Mapping_Servers_Results_by_TOPIC[[#This Row],[Topics]],Mapping_Servers_Backup[Scope],Mapping_Servers_Results_by_TOPIC[[#Headers],[Backup servers]])</f>
        <v>0</v>
      </c>
      <c r="E21" s="157">
        <f>SUMIFS(Mapping_Servers_Backup[Total emissions (kgC02e)],Mapping_Servers_Backup[NIST Topic],Mapping_Servers_Results_by_TOPIC[[#This Row],[Topics]],Mapping_Servers_Backup[Scope],Mapping_Servers_Results_by_TOPIC[[#Headers],[Redundant servers]])</f>
        <v>0</v>
      </c>
    </row>
    <row r="22" spans="2:5">
      <c r="B22" s="111" t="s">
        <v>20</v>
      </c>
      <c r="C22" s="157">
        <f>SUM(Mapping_Servers_Results_by_TOPIC[[#This Row],[Backup servers]:[Redundant servers]])</f>
        <v>0</v>
      </c>
      <c r="D22" s="157">
        <f>SUMIFS(Mapping_Servers_Backup[Total emissions (kgC02e)],Mapping_Servers_Backup[NIST Topic],Mapping_Servers_Results_by_TOPIC[[#This Row],[Topics]],Mapping_Servers_Backup[Scope],Mapping_Servers_Results_by_TOPIC[[#Headers],[Backup servers]])</f>
        <v>0</v>
      </c>
      <c r="E22" s="157">
        <f>SUMIFS(Mapping_Servers_Backup[Total emissions (kgC02e)],Mapping_Servers_Backup[NIST Topic],Mapping_Servers_Results_by_TOPIC[[#This Row],[Topics]],Mapping_Servers_Backup[Scope],Mapping_Servers_Results_by_TOPIC[[#Headers],[Redundant servers]])</f>
        <v>0</v>
      </c>
    </row>
    <row r="23" spans="2:5">
      <c r="B23" s="111" t="s">
        <v>21</v>
      </c>
      <c r="C23" s="157">
        <f>SUM(Mapping_Servers_Results_by_TOPIC[[#This Row],[Backup servers]:[Redundant servers]])</f>
        <v>0</v>
      </c>
      <c r="D23" s="157">
        <f>SUMIFS(Mapping_Servers_Backup[Total emissions (kgC02e)],Mapping_Servers_Backup[NIST Topic],Mapping_Servers_Results_by_TOPIC[[#This Row],[Topics]],Mapping_Servers_Backup[Scope],Mapping_Servers_Results_by_TOPIC[[#Headers],[Backup servers]])</f>
        <v>0</v>
      </c>
      <c r="E23" s="157">
        <f>SUMIFS(Mapping_Servers_Backup[Total emissions (kgC02e)],Mapping_Servers_Backup[NIST Topic],Mapping_Servers_Results_by_TOPIC[[#This Row],[Topics]],Mapping_Servers_Backup[Scope],Mapping_Servers_Results_by_TOPIC[[#Headers],[Redundant servers]])</f>
        <v>0</v>
      </c>
    </row>
    <row r="24" spans="2:5">
      <c r="B24" s="111" t="s">
        <v>22</v>
      </c>
      <c r="C24" s="157">
        <f>SUM(Mapping_Servers_Results_by_TOPIC[[#This Row],[Backup servers]:[Redundant servers]])</f>
        <v>0</v>
      </c>
      <c r="D24" s="157">
        <f>SUMIFS(Mapping_Servers_Backup[Total emissions (kgC02e)],Mapping_Servers_Backup[NIST Topic],Mapping_Servers_Results_by_TOPIC[[#This Row],[Topics]],Mapping_Servers_Backup[Scope],Mapping_Servers_Results_by_TOPIC[[#Headers],[Backup servers]])</f>
        <v>0</v>
      </c>
      <c r="E24" s="157">
        <f>SUMIFS(Mapping_Servers_Backup[Total emissions (kgC02e)],Mapping_Servers_Backup[NIST Topic],Mapping_Servers_Results_by_TOPIC[[#This Row],[Topics]],Mapping_Servers_Backup[Scope],Mapping_Servers_Results_by_TOPIC[[#Headers],[Redundant servers]])</f>
        <v>0</v>
      </c>
    </row>
    <row r="25" spans="2:5">
      <c r="B25" s="111" t="s">
        <v>23</v>
      </c>
      <c r="C25" s="157">
        <f>SUM(Mapping_Servers_Results_by_TOPIC[[#This Row],[Backup servers]:[Redundant servers]])</f>
        <v>0</v>
      </c>
      <c r="D25" s="157">
        <f>SUMIFS(Mapping_Servers_Backup[Total emissions (kgC02e)],Mapping_Servers_Backup[NIST Topic],Mapping_Servers_Results_by_TOPIC[[#This Row],[Topics]],Mapping_Servers_Backup[Scope],Mapping_Servers_Results_by_TOPIC[[#Headers],[Backup servers]])</f>
        <v>0</v>
      </c>
      <c r="E25" s="157">
        <f>SUMIFS(Mapping_Servers_Backup[Total emissions (kgC02e)],Mapping_Servers_Backup[NIST Topic],Mapping_Servers_Results_by_TOPIC[[#This Row],[Topics]],Mapping_Servers_Backup[Scope],Mapping_Servers_Results_by_TOPIC[[#Headers],[Redundant servers]])</f>
        <v>0</v>
      </c>
    </row>
    <row r="26" spans="2:5">
      <c r="B26" s="111" t="s">
        <v>24</v>
      </c>
      <c r="C26" s="157">
        <f>SUM(Mapping_Servers_Results_by_TOPIC[[#This Row],[Backup servers]:[Redundant servers]])</f>
        <v>0</v>
      </c>
      <c r="D26" s="157">
        <f>SUMIFS(Mapping_Servers_Backup[Total emissions (kgC02e)],Mapping_Servers_Backup[NIST Topic],Mapping_Servers_Results_by_TOPIC[[#This Row],[Topics]],Mapping_Servers_Backup[Scope],Mapping_Servers_Results_by_TOPIC[[#Headers],[Backup servers]])</f>
        <v>0</v>
      </c>
      <c r="E26" s="157">
        <f>SUMIFS(Mapping_Servers_Backup[Total emissions (kgC02e)],Mapping_Servers_Backup[NIST Topic],Mapping_Servers_Results_by_TOPIC[[#This Row],[Topics]],Mapping_Servers_Backup[Scope],Mapping_Servers_Results_by_TOPIC[[#Headers],[Redundant servers]])</f>
        <v>0</v>
      </c>
    </row>
    <row r="27" spans="2:5">
      <c r="B27" s="111" t="s">
        <v>25</v>
      </c>
      <c r="C27" s="157">
        <f>SUM(Mapping_Servers_Results_by_TOPIC[[#This Row],[Backup servers]:[Redundant servers]])</f>
        <v>19137.024446195555</v>
      </c>
      <c r="D27" s="157">
        <f>SUMIFS(Mapping_Servers_Backup[Total emissions (kgC02e)],Mapping_Servers_Backup[NIST Topic],Mapping_Servers_Results_by_TOPIC[[#This Row],[Topics]],Mapping_Servers_Backup[Scope],Mapping_Servers_Results_by_TOPIC[[#Headers],[Backup servers]])</f>
        <v>14055.627037626666</v>
      </c>
      <c r="E27" s="157">
        <f>SUMIFS(Mapping_Servers_Backup[Total emissions (kgC02e)],Mapping_Servers_Backup[NIST Topic],Mapping_Servers_Results_by_TOPIC[[#This Row],[Topics]],Mapping_Servers_Backup[Scope],Mapping_Servers_Results_by_TOPIC[[#Headers],[Redundant servers]])</f>
        <v>5081.3974085688887</v>
      </c>
    </row>
    <row r="28" spans="2:5">
      <c r="B28" s="111" t="s">
        <v>26</v>
      </c>
      <c r="C28" s="157">
        <f>SUM(Mapping_Servers_Results_by_TOPIC[[#This Row],[Backup servers]:[Redundant servers]])</f>
        <v>0</v>
      </c>
      <c r="D28" s="157">
        <f>SUMIFS(Mapping_Servers_Backup[Total emissions (kgC02e)],Mapping_Servers_Backup[NIST Topic],Mapping_Servers_Results_by_TOPIC[[#This Row],[Topics]],Mapping_Servers_Backup[Scope],Mapping_Servers_Results_by_TOPIC[[#Headers],[Backup servers]])</f>
        <v>0</v>
      </c>
      <c r="E28" s="157">
        <f>SUMIFS(Mapping_Servers_Backup[Total emissions (kgC02e)],Mapping_Servers_Backup[NIST Topic],Mapping_Servers_Results_by_TOPIC[[#This Row],[Topics]],Mapping_Servers_Backup[Scope],Mapping_Servers_Results_by_TOPIC[[#Headers],[Redundant servers]])</f>
        <v>0</v>
      </c>
    </row>
    <row r="29" spans="2:5">
      <c r="B29" s="111" t="s">
        <v>27</v>
      </c>
      <c r="C29" s="157">
        <f>SUM(Mapping_Servers_Results_by_TOPIC[[#This Row],[Backup servers]:[Redundant servers]])</f>
        <v>0</v>
      </c>
      <c r="D29" s="157">
        <f>SUMIFS(Mapping_Servers_Backup[Total emissions (kgC02e)],Mapping_Servers_Backup[NIST Topic],Mapping_Servers_Results_by_TOPIC[[#This Row],[Topics]],Mapping_Servers_Backup[Scope],Mapping_Servers_Results_by_TOPIC[[#Headers],[Backup servers]])</f>
        <v>0</v>
      </c>
      <c r="E29" s="157">
        <f>SUMIFS(Mapping_Servers_Backup[Total emissions (kgC02e)],Mapping_Servers_Backup[NIST Topic],Mapping_Servers_Results_by_TOPIC[[#This Row],[Topics]],Mapping_Servers_Backup[Scope],Mapping_Servers_Results_by_TOPIC[[#Headers],[Redundant servers]])</f>
        <v>0</v>
      </c>
    </row>
    <row r="30" spans="2:5">
      <c r="B30" s="131" t="s">
        <v>367</v>
      </c>
      <c r="C30" s="123">
        <f>SUBTOTAL(109,Mapping_Servers_Results_by_TOPIC[Total severs on premise emissions (kgCO2e)])</f>
        <v>19137.024446195555</v>
      </c>
      <c r="D30" s="123">
        <f>SUBTOTAL(109,Mapping_Servers_Results_by_TOPIC[Backup servers])</f>
        <v>14055.627037626666</v>
      </c>
      <c r="E30" s="123">
        <f>SUBTOTAL(109,Mapping_Servers_Results_by_TOPIC[Redundant servers])</f>
        <v>5081.3974085688887</v>
      </c>
    </row>
    <row r="40" spans="1:8" ht="42">
      <c r="A40" s="98" t="s">
        <v>375</v>
      </c>
    </row>
    <row r="41" spans="1:8">
      <c r="B41" s="96" t="s">
        <v>245</v>
      </c>
      <c r="C41" s="96" t="s">
        <v>368</v>
      </c>
      <c r="D41" s="96" t="s">
        <v>28</v>
      </c>
      <c r="E41" s="96" t="s">
        <v>29</v>
      </c>
      <c r="F41" s="58" t="s">
        <v>252</v>
      </c>
      <c r="G41" s="58" t="s">
        <v>253</v>
      </c>
      <c r="H41" s="106" t="s">
        <v>254</v>
      </c>
    </row>
    <row r="42" spans="1:8">
      <c r="B42" s="167" t="s">
        <v>195</v>
      </c>
      <c r="C42" s="97"/>
      <c r="D42" s="125" t="s">
        <v>159</v>
      </c>
      <c r="E42" s="95" t="str">
        <f>_xlfn.XLOOKUP(Mapping_Servers_Backup[[#This Row],[NIST Control]],Referential_NIST_Control[NIST Control],Referential_NIST_Control[NIST Topic])</f>
        <v>RES</v>
      </c>
      <c r="F42" s="123">
        <f>SUMIF(Servers_Backup[Cyber category],Mapping_Servers_Backup[[#This Row],[Scope]],Servers_Backup[Scope 2 (kgCO2e)])</f>
        <v>5109.6803709599999</v>
      </c>
      <c r="G42" s="123">
        <f>SUMIF(Servers_Backup[Cyber category],Mapping_Servers_Backup[[#This Row],[Scope]],Servers_Backup[Scope 3 (kgCO2e)])</f>
        <v>8945.9466666666667</v>
      </c>
      <c r="H42" s="123">
        <f>Mapping_Servers_Backup[[#This Row],[Scope 2 (kgC02e)]]+Mapping_Servers_Backup[[#This Row],[Scope 3 (kgC02e)]]</f>
        <v>14055.627037626666</v>
      </c>
    </row>
    <row r="43" spans="1:8">
      <c r="B43" s="167" t="s">
        <v>290</v>
      </c>
      <c r="C43" s="97"/>
      <c r="D43" s="125" t="s">
        <v>159</v>
      </c>
      <c r="E43" s="95" t="str">
        <f>_xlfn.XLOOKUP(Mapping_Servers_Backup[[#This Row],[NIST Control]],Referential_NIST_Control[NIST Control],Referential_NIST_Control[NIST Topic])</f>
        <v>RES</v>
      </c>
      <c r="F43" s="123">
        <f>SUMIF(Servers_Backup[Cyber category],Mapping_Servers_Backup[[#This Row],[Scope]],Servers_Backup[Scope 2 (kgCO2e)])</f>
        <v>1304.1885196800001</v>
      </c>
      <c r="G43" s="123">
        <f>SUMIF(Servers_Backup[Cyber category],Mapping_Servers_Backup[[#This Row],[Scope]],Servers_Backup[Scope 3 (kgCO2e)])</f>
        <v>3777.2088888888889</v>
      </c>
      <c r="H43" s="123">
        <f>Mapping_Servers_Backup[[#This Row],[Scope 2 (kgC02e)]]+Mapping_Servers_Backup[[#This Row],[Scope 3 (kgC02e)]]</f>
        <v>5081.3974085688887</v>
      </c>
    </row>
  </sheetData>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AB1E-CB6E-4E93-A7BD-5CC2D5DE93D7}">
  <sheetPr>
    <tabColor theme="5" tint="0.79998168889431442"/>
  </sheetPr>
  <dimension ref="A2:O51"/>
  <sheetViews>
    <sheetView showGridLines="0" topLeftCell="A2" zoomScale="40" zoomScaleNormal="40" workbookViewId="0">
      <selection activeCell="F55" sqref="F55"/>
    </sheetView>
  </sheetViews>
  <sheetFormatPr defaultColWidth="8.85546875" defaultRowHeight="14.45"/>
  <cols>
    <col min="1" max="1" width="44.5703125" style="3" customWidth="1"/>
    <col min="2" max="2" width="33.42578125" style="3" customWidth="1"/>
    <col min="3" max="3" width="50" style="3" customWidth="1"/>
    <col min="4" max="4" width="41.5703125" style="3" customWidth="1"/>
    <col min="5" max="5" width="37.42578125" style="3" customWidth="1"/>
    <col min="6" max="6" width="24.5703125" style="3" bestFit="1" customWidth="1"/>
    <col min="7" max="7" width="21.42578125" style="3" customWidth="1"/>
    <col min="8" max="8" width="31.5703125" style="3" customWidth="1"/>
    <col min="9" max="9" width="26.140625" style="3" customWidth="1"/>
    <col min="10" max="10" width="25.140625" style="3" customWidth="1"/>
    <col min="11" max="11" width="24.140625" style="3" customWidth="1"/>
    <col min="12" max="14" width="21.140625" style="3" customWidth="1"/>
    <col min="15" max="15" width="25.140625" style="3" customWidth="1"/>
    <col min="16" max="16384" width="8.85546875" style="3"/>
  </cols>
  <sheetData>
    <row r="2" spans="1:5" ht="15.6">
      <c r="A2" s="196" t="s">
        <v>216</v>
      </c>
      <c r="B2"/>
    </row>
    <row r="3" spans="1:5" ht="15.6">
      <c r="A3"/>
      <c r="B3" s="160" t="s">
        <v>217</v>
      </c>
    </row>
    <row r="4" spans="1:5" ht="29.1">
      <c r="A4"/>
      <c r="B4" s="227" t="s">
        <v>228</v>
      </c>
    </row>
    <row r="5" spans="1:5" ht="29.1">
      <c r="A5"/>
      <c r="B5" s="224" t="s">
        <v>219</v>
      </c>
    </row>
    <row r="6" spans="1:5" ht="29.1">
      <c r="A6"/>
      <c r="B6" s="228" t="s">
        <v>220</v>
      </c>
    </row>
    <row r="7" spans="1:5" ht="29.1">
      <c r="A7"/>
      <c r="B7" s="229" t="s">
        <v>229</v>
      </c>
    </row>
    <row r="8" spans="1:5">
      <c r="B8" s="165" t="s">
        <v>221</v>
      </c>
    </row>
    <row r="10" spans="1:5" ht="15.6">
      <c r="A10" s="196" t="s">
        <v>222</v>
      </c>
    </row>
    <row r="11" spans="1:5">
      <c r="B11" s="152" t="s">
        <v>376</v>
      </c>
      <c r="C11" s="158">
        <f>SUM(Mapping_Solutions_Results_by_TOPIC[Total Cyber solution emissions (kgCO2e)])/1000</f>
        <v>4434.0389241719631</v>
      </c>
    </row>
    <row r="12" spans="1:5" ht="29.1">
      <c r="B12" s="154" t="str">
        <f>"Scope 2 "&amp;B11</f>
        <v>Scope 2 Cyber solutions emissions (tCO2e)</v>
      </c>
      <c r="C12" s="158">
        <f>SUM(Mapping_Solutions_On_Premise[Scope 2 NIST carbon emissions (kGCO2e)],Mapping_Solutions_Cloud[Scope 2 NIST carbon emissions (kGCO2e)])/1000</f>
        <v>9.4553667676800011</v>
      </c>
    </row>
    <row r="13" spans="1:5" ht="29.1">
      <c r="B13" s="154" t="str">
        <f>"Scope 3 "&amp;B11</f>
        <v>Scope 3 Cyber solutions emissions (tCO2e)</v>
      </c>
      <c r="C13" s="158">
        <f>SUM(Mapping_Solutions_On_Premise[Scope 3 NIST carbon emissions (kGCO2e)2],Mapping_Solutions_Cloud[Scope 3 NIST carbon emissions (kGCO2e)2])/1000</f>
        <v>4424.5835574042821</v>
      </c>
    </row>
    <row r="14" spans="1:5">
      <c r="B14" s="110"/>
    </row>
    <row r="15" spans="1:5" ht="52.5" customHeight="1">
      <c r="B15" s="113" t="s">
        <v>13</v>
      </c>
      <c r="C15" s="113" t="s">
        <v>377</v>
      </c>
      <c r="D15" s="113" t="s">
        <v>378</v>
      </c>
      <c r="E15" s="113" t="s">
        <v>379</v>
      </c>
    </row>
    <row r="16" spans="1:5">
      <c r="B16" s="111" t="s">
        <v>14</v>
      </c>
      <c r="C16" s="280">
        <f>SUM(Mapping_Solutions_Results_by_TOPIC[[#This Row],[Cyber dedicated solutions hosted on premise]:[Cyber dedicated solutions hosted on cloud]])</f>
        <v>0</v>
      </c>
      <c r="D16" s="280">
        <f>SUMIF(Mapping_Solutions_On_Premise[NIST Topic],Mapping_Solutions_Results_by_TOPIC[[#This Row],[Topics]],Mapping_Solutions_On_Premise[Total NIST carbon emission (kgCO2e)])</f>
        <v>0</v>
      </c>
      <c r="E16" s="280">
        <f>SUMIF(Mapping_Solutions_Cloud[NIST Topic],Mapping_Solutions_Results_by_TOPIC[[#This Row],[Topics]],Mapping_Solutions_Cloud[Total NIST carbon emission (kgCO2e)])</f>
        <v>0</v>
      </c>
    </row>
    <row r="17" spans="2:5">
      <c r="B17" s="111" t="s">
        <v>15</v>
      </c>
      <c r="C17" s="280">
        <f>SUM(Mapping_Solutions_Results_by_TOPIC[[#This Row],[Cyber dedicated solutions hosted on premise]:[Cyber dedicated solutions hosted on cloud]])</f>
        <v>1615200.9471719626</v>
      </c>
      <c r="D17" s="280">
        <f>SUMIF(Mapping_Solutions_On_Premise[NIST Topic],Mapping_Solutions_Results_by_TOPIC[[#This Row],[Topics]],Mapping_Solutions_On_Premise[Total NIST carbon emission (kgCO2e)])</f>
        <v>19632.281171962681</v>
      </c>
      <c r="E17" s="280">
        <f>SUMIF(Mapping_Solutions_Cloud[NIST Topic],Mapping_Solutions_Results_by_TOPIC[[#This Row],[Topics]],Mapping_Solutions_Cloud[Total NIST carbon emission (kgCO2e)])</f>
        <v>1595568.666</v>
      </c>
    </row>
    <row r="18" spans="2:5">
      <c r="B18" s="111" t="s">
        <v>16</v>
      </c>
      <c r="C18" s="280">
        <f>SUM(Mapping_Solutions_Results_by_TOPIC[[#This Row],[Cyber dedicated solutions hosted on premise]:[Cyber dedicated solutions hosted on cloud]])</f>
        <v>0</v>
      </c>
      <c r="D18" s="280">
        <f>SUMIF(Mapping_Solutions_On_Premise[NIST Topic],Mapping_Solutions_Results_by_TOPIC[[#This Row],[Topics]],Mapping_Solutions_On_Premise[Total NIST carbon emission (kgCO2e)])</f>
        <v>0</v>
      </c>
      <c r="E18" s="280">
        <f>SUMIF(Mapping_Solutions_Cloud[NIST Topic],Mapping_Solutions_Results_by_TOPIC[[#This Row],[Topics]],Mapping_Solutions_Cloud[Total NIST carbon emission (kgCO2e)])</f>
        <v>0</v>
      </c>
    </row>
    <row r="19" spans="2:5">
      <c r="B19" s="111" t="s">
        <v>17</v>
      </c>
      <c r="C19" s="280">
        <f>SUM(Mapping_Solutions_Results_by_TOPIC[[#This Row],[Cyber dedicated solutions hosted on premise]:[Cyber dedicated solutions hosted on cloud]])</f>
        <v>0</v>
      </c>
      <c r="D19" s="280">
        <f>SUMIF(Mapping_Solutions_On_Premise[NIST Topic],Mapping_Solutions_Results_by_TOPIC[[#This Row],[Topics]],Mapping_Solutions_On_Premise[Total NIST carbon emission (kgCO2e)])</f>
        <v>0</v>
      </c>
      <c r="E19" s="280">
        <f>SUMIF(Mapping_Solutions_Cloud[NIST Topic],Mapping_Solutions_Results_by_TOPIC[[#This Row],[Topics]],Mapping_Solutions_Cloud[Total NIST carbon emission (kgCO2e)])</f>
        <v>0</v>
      </c>
    </row>
    <row r="20" spans="2:5">
      <c r="B20" s="111" t="s">
        <v>18</v>
      </c>
      <c r="C20" s="280">
        <f>SUM(Mapping_Solutions_Results_by_TOPIC[[#This Row],[Cyber dedicated solutions hosted on premise]:[Cyber dedicated solutions hosted on cloud]])</f>
        <v>0</v>
      </c>
      <c r="D20" s="280">
        <f>SUMIF(Mapping_Solutions_On_Premise[NIST Topic],Mapping_Solutions_Results_by_TOPIC[[#This Row],[Topics]],Mapping_Solutions_On_Premise[Total NIST carbon emission (kgCO2e)])</f>
        <v>0</v>
      </c>
      <c r="E20" s="280">
        <f>SUMIF(Mapping_Solutions_Cloud[NIST Topic],Mapping_Solutions_Results_by_TOPIC[[#This Row],[Topics]],Mapping_Solutions_Cloud[Total NIST carbon emission (kgCO2e)])</f>
        <v>0</v>
      </c>
    </row>
    <row r="21" spans="2:5">
      <c r="B21" s="111" t="s">
        <v>19</v>
      </c>
      <c r="C21" s="280">
        <f>SUM(Mapping_Solutions_Results_by_TOPIC[[#This Row],[Cyber dedicated solutions hosted on premise]:[Cyber dedicated solutions hosted on cloud]])</f>
        <v>0</v>
      </c>
      <c r="D21" s="280">
        <f>SUMIF(Mapping_Solutions_On_Premise[NIST Topic],Mapping_Solutions_Results_by_TOPIC[[#This Row],[Topics]],Mapping_Solutions_On_Premise[Total NIST carbon emission (kgCO2e)])</f>
        <v>0</v>
      </c>
      <c r="E21" s="280">
        <f>SUMIF(Mapping_Solutions_Cloud[NIST Topic],Mapping_Solutions_Results_by_TOPIC[[#This Row],[Topics]],Mapping_Solutions_Cloud[Total NIST carbon emission (kgCO2e)])</f>
        <v>0</v>
      </c>
    </row>
    <row r="22" spans="2:5">
      <c r="B22" s="111" t="s">
        <v>20</v>
      </c>
      <c r="C22" s="280">
        <f>SUM(Mapping_Solutions_Results_by_TOPIC[[#This Row],[Cyber dedicated solutions hosted on premise]:[Cyber dedicated solutions hosted on cloud]])</f>
        <v>0</v>
      </c>
      <c r="D22" s="280">
        <f>SUMIF(Mapping_Solutions_On_Premise[NIST Topic],Mapping_Solutions_Results_by_TOPIC[[#This Row],[Topics]],Mapping_Solutions_On_Premise[Total NIST carbon emission (kgCO2e)])</f>
        <v>0</v>
      </c>
      <c r="E22" s="280">
        <f>SUMIF(Mapping_Solutions_Cloud[NIST Topic],Mapping_Solutions_Results_by_TOPIC[[#This Row],[Topics]],Mapping_Solutions_Cloud[Total NIST carbon emission (kgCO2e)])</f>
        <v>0</v>
      </c>
    </row>
    <row r="23" spans="2:5">
      <c r="B23" s="111" t="s">
        <v>21</v>
      </c>
      <c r="C23" s="280">
        <f>SUM(Mapping_Solutions_Results_by_TOPIC[[#This Row],[Cyber dedicated solutions hosted on premise]:[Cyber dedicated solutions hosted on cloud]])</f>
        <v>0</v>
      </c>
      <c r="D23" s="280">
        <f>SUMIF(Mapping_Solutions_On_Premise[NIST Topic],Mapping_Solutions_Results_by_TOPIC[[#This Row],[Topics]],Mapping_Solutions_On_Premise[Total NIST carbon emission (kgCO2e)])</f>
        <v>0</v>
      </c>
      <c r="E23" s="280">
        <f>SUMIF(Mapping_Solutions_Cloud[NIST Topic],Mapping_Solutions_Results_by_TOPIC[[#This Row],[Topics]],Mapping_Solutions_Cloud[Total NIST carbon emission (kgCO2e)])</f>
        <v>0</v>
      </c>
    </row>
    <row r="24" spans="2:5">
      <c r="B24" s="111" t="s">
        <v>22</v>
      </c>
      <c r="C24" s="280">
        <f>SUM(Mapping_Solutions_Results_by_TOPIC[[#This Row],[Cyber dedicated solutions hosted on premise]:[Cyber dedicated solutions hosted on cloud]])</f>
        <v>0</v>
      </c>
      <c r="D24" s="280">
        <f>SUMIF(Mapping_Solutions_On_Premise[NIST Topic],Mapping_Solutions_Results_by_TOPIC[[#This Row],[Topics]],Mapping_Solutions_On_Premise[Total NIST carbon emission (kgCO2e)])</f>
        <v>0</v>
      </c>
      <c r="E24" s="280">
        <f>SUMIF(Mapping_Solutions_Cloud[NIST Topic],Mapping_Solutions_Results_by_TOPIC[[#This Row],[Topics]],Mapping_Solutions_Cloud[Total NIST carbon emission (kgCO2e)])</f>
        <v>0</v>
      </c>
    </row>
    <row r="25" spans="2:5">
      <c r="B25" s="111" t="s">
        <v>23</v>
      </c>
      <c r="C25" s="280">
        <f>SUM(Mapping_Solutions_Results_by_TOPIC[[#This Row],[Cyber dedicated solutions hosted on premise]:[Cyber dedicated solutions hosted on cloud]])</f>
        <v>1223269.311</v>
      </c>
      <c r="D25" s="280">
        <f>SUMIF(Mapping_Solutions_On_Premise[NIST Topic],Mapping_Solutions_Results_by_TOPIC[[#This Row],[Topics]],Mapping_Solutions_On_Premise[Total NIST carbon emission (kgCO2e)])</f>
        <v>0</v>
      </c>
      <c r="E25" s="280">
        <f>SUMIF(Mapping_Solutions_Cloud[NIST Topic],Mapping_Solutions_Results_by_TOPIC[[#This Row],[Topics]],Mapping_Solutions_Cloud[Total NIST carbon emission (kgCO2e)])</f>
        <v>1223269.311</v>
      </c>
    </row>
    <row r="26" spans="2:5">
      <c r="B26" s="111" t="s">
        <v>24</v>
      </c>
      <c r="C26" s="280">
        <f>SUM(Mapping_Solutions_Results_by_TOPIC[[#This Row],[Cyber dedicated solutions hosted on premise]:[Cyber dedicated solutions hosted on cloud]])</f>
        <v>0</v>
      </c>
      <c r="D26" s="280">
        <f>SUMIF(Mapping_Solutions_On_Premise[NIST Topic],Mapping_Solutions_Results_by_TOPIC[[#This Row],[Topics]],Mapping_Solutions_On_Premise[Total NIST carbon emission (kgCO2e)])</f>
        <v>0</v>
      </c>
      <c r="E26" s="280">
        <f>SUMIF(Mapping_Solutions_Cloud[NIST Topic],Mapping_Solutions_Results_by_TOPIC[[#This Row],[Topics]],Mapping_Solutions_Cloud[Total NIST carbon emission (kgCO2e)])</f>
        <v>0</v>
      </c>
    </row>
    <row r="27" spans="2:5">
      <c r="B27" s="111" t="s">
        <v>25</v>
      </c>
      <c r="C27" s="280">
        <f>SUM(Mapping_Solutions_Results_by_TOPIC[[#This Row],[Cyber dedicated solutions hosted on premise]:[Cyber dedicated solutions hosted on cloud]])</f>
        <v>0</v>
      </c>
      <c r="D27" s="280">
        <f>SUMIF(Mapping_Solutions_On_Premise[NIST Topic],Mapping_Solutions_Results_by_TOPIC[[#This Row],[Topics]],Mapping_Solutions_On_Premise[Total NIST carbon emission (kgCO2e)])</f>
        <v>0</v>
      </c>
      <c r="E27" s="280">
        <f>SUMIF(Mapping_Solutions_Cloud[NIST Topic],Mapping_Solutions_Results_by_TOPIC[[#This Row],[Topics]],Mapping_Solutions_Cloud[Total NIST carbon emission (kgCO2e)])</f>
        <v>0</v>
      </c>
    </row>
    <row r="28" spans="2:5">
      <c r="B28" s="111" t="s">
        <v>26</v>
      </c>
      <c r="C28" s="280">
        <f>SUM(Mapping_Solutions_Results_by_TOPIC[[#This Row],[Cyber dedicated solutions hosted on premise]:[Cyber dedicated solutions hosted on cloud]])</f>
        <v>0</v>
      </c>
      <c r="D28" s="280">
        <f>SUMIF(Mapping_Solutions_On_Premise[NIST Topic],Mapping_Solutions_Results_by_TOPIC[[#This Row],[Topics]],Mapping_Solutions_On_Premise[Total NIST carbon emission (kgCO2e)])</f>
        <v>0</v>
      </c>
      <c r="E28" s="280">
        <f>SUMIF(Mapping_Solutions_Cloud[NIST Topic],Mapping_Solutions_Results_by_TOPIC[[#This Row],[Topics]],Mapping_Solutions_Cloud[Total NIST carbon emission (kgCO2e)])</f>
        <v>0</v>
      </c>
    </row>
    <row r="29" spans="2:5">
      <c r="B29" s="111" t="s">
        <v>27</v>
      </c>
      <c r="C29" s="280">
        <f>SUM(Mapping_Solutions_Results_by_TOPIC[[#This Row],[Cyber dedicated solutions hosted on premise]:[Cyber dedicated solutions hosted on cloud]])</f>
        <v>1595568.666</v>
      </c>
      <c r="D29" s="280">
        <f>SUMIF(Mapping_Solutions_On_Premise[NIST Topic],Mapping_Solutions_Results_by_TOPIC[[#This Row],[Topics]],Mapping_Solutions_On_Premise[Total NIST carbon emission (kgCO2e)])</f>
        <v>0</v>
      </c>
      <c r="E29" s="280">
        <f>SUMIF(Mapping_Solutions_Cloud[NIST Topic],Mapping_Solutions_Results_by_TOPIC[[#This Row],[Topics]],Mapping_Solutions_Cloud[Total NIST carbon emission (kgCO2e)])</f>
        <v>1595568.666</v>
      </c>
    </row>
    <row r="30" spans="2:5">
      <c r="B30" s="54" t="s">
        <v>367</v>
      </c>
      <c r="C30" s="281">
        <f>SUM(Mapping_Solutions_Results_by_TOPIC[Total Cyber solution emissions (kgCO2e)])</f>
        <v>4434038.9241719628</v>
      </c>
      <c r="D30" s="281">
        <f>SUM(Mapping_Solutions_Results_by_TOPIC[Cyber dedicated solutions hosted on premise])</f>
        <v>19632.281171962681</v>
      </c>
      <c r="E30" s="281">
        <f>SUM(Mapping_Solutions_Results_by_TOPIC[Cyber dedicated solutions hosted on cloud])</f>
        <v>4414406.6430000002</v>
      </c>
    </row>
    <row r="34" spans="1:15" ht="42">
      <c r="A34" s="98" t="s">
        <v>380</v>
      </c>
    </row>
    <row r="35" spans="1:15" ht="43.5">
      <c r="B35" s="66" t="s">
        <v>28</v>
      </c>
      <c r="C35" s="66" t="s">
        <v>381</v>
      </c>
      <c r="D35" s="66" t="s">
        <v>382</v>
      </c>
      <c r="E35" s="66" t="s">
        <v>383</v>
      </c>
      <c r="F35" s="66" t="s">
        <v>384</v>
      </c>
      <c r="G35" s="66" t="s">
        <v>368</v>
      </c>
      <c r="H35" s="66" t="s">
        <v>385</v>
      </c>
      <c r="I35" s="66" t="s">
        <v>29</v>
      </c>
      <c r="J35" s="66" t="s">
        <v>386</v>
      </c>
      <c r="K35" s="66" t="s">
        <v>387</v>
      </c>
      <c r="L35" s="66" t="s">
        <v>388</v>
      </c>
      <c r="M35" s="66" t="s">
        <v>389</v>
      </c>
      <c r="N35" s="66" t="s">
        <v>390</v>
      </c>
      <c r="O35" s="66" t="s">
        <v>391</v>
      </c>
    </row>
    <row r="36" spans="1:15">
      <c r="B36" s="263" t="s">
        <v>33</v>
      </c>
      <c r="C36" s="263" t="s">
        <v>300</v>
      </c>
      <c r="D36" s="263" t="s">
        <v>392</v>
      </c>
      <c r="E36" s="300"/>
      <c r="F36" s="282">
        <v>0.5</v>
      </c>
      <c r="G36" s="283"/>
      <c r="H36" s="284">
        <v>1</v>
      </c>
      <c r="I36" s="287" t="str">
        <f>_xlfn.XLOOKUP(Mapping_Solutions_On_Premise[[#This Row],[NIST Control]],Referential_NIST_Control[NIST Control],Referential_NIST_Control[NIST Topic])</f>
        <v>ASSET</v>
      </c>
      <c r="J36" s="288">
        <f>SUMIF(Software_On_Premise[ID of application],Mapping_Solutions_On_Premise[[#This Row],[Application ID]],Software_On_Premise[Scope 2 (kgCO2e)])*Mapping_Solutions_On_Premise[[#This Row],[% of the app contributing to this NIST Control]]</f>
        <v>9455.3667676800014</v>
      </c>
      <c r="K36" s="288">
        <f>SUMIF(Software_On_Premise[ID of application],Mapping_Solutions_On_Premise[[#This Row],[Application ID]],Software_On_Premise[Scope 3 (kgCO2e)])*Mapping_Solutions_On_Premise[[#This Row],[% of the app contributing to this NIST Control]]</f>
        <v>10176.914404282679</v>
      </c>
      <c r="L36" s="289">
        <f>SUMIF(Software_On_Premise[ID of application],Mapping_Solutions_On_Premise[[#This Row],[Application ID]],Software_On_Premise[Total emissions (kgCO2e)])*Mapping_Solutions_On_Premise[[#This Row],[% of the app contributing to this NIST Control]]</f>
        <v>19632.281171962681</v>
      </c>
      <c r="M36" s="289">
        <f>SUMIF(Software_On_Premise[ID of application],Mapping_Solutions_On_Premise[[#This Row],[Application ID]],Software_On_Premise[Scope 2 (kgCO2e)])*Mapping_Solutions_On_Premise[[#This Row],[% of the app contributing to this internal referential]]</f>
        <v>18910.733535360003</v>
      </c>
      <c r="N36" s="289">
        <f>SUMIF(Software_On_Premise[ID of application],Mapping_Solutions_On_Premise[[#This Row],[Application ID]],Software_On_Premise[Scope 3 (kgCO2e)])*Mapping_Solutions_On_Premise[[#This Row],[% of the app contributing to this internal referential]]</f>
        <v>20353.828808565358</v>
      </c>
      <c r="O36" s="289">
        <f>SUMIF(Software_On_Premise[ID of application],Mapping_Solutions_On_Premise[[#This Row],[Application ID]],Software_On_Premise[Total emissions (kgCO2e)])*Mapping_Solutions_On_Premise[[#This Row],[% of the app contributing to this internal referential]]</f>
        <v>39264.562343925361</v>
      </c>
    </row>
    <row r="37" spans="1:15">
      <c r="B37" s="263" t="s">
        <v>33</v>
      </c>
      <c r="C37" s="263" t="s">
        <v>393</v>
      </c>
      <c r="D37" s="263" t="s">
        <v>394</v>
      </c>
      <c r="E37" s="300"/>
      <c r="F37" s="285">
        <v>0.5</v>
      </c>
      <c r="G37" s="283"/>
      <c r="H37" s="284"/>
      <c r="I37" s="287" t="str">
        <f>_xlfn.XLOOKUP(Mapping_Solutions_On_Premise[[#This Row],[NIST Control]],Referential_NIST_Control[NIST Control],Referential_NIST_Control[NIST Topic])</f>
        <v>ASSET</v>
      </c>
      <c r="J37" s="288">
        <f>SUMIF(Software_On_Premise[ID of application],Mapping_Solutions_On_Premise[[#This Row],[Application ID]],Software_On_Premise[Scope 2 (kgCO2e)])*Mapping_Solutions_On_Premise[[#This Row],[% of the app contributing to this NIST Control]]</f>
        <v>0</v>
      </c>
      <c r="K37" s="288">
        <f>SUMIF(Software_On_Premise[ID of application],Mapping_Solutions_On_Premise[[#This Row],[Application ID]],Software_On_Premise[Scope 3 (kgCO2e)])*Mapping_Solutions_On_Premise[[#This Row],[% of the app contributing to this NIST Control]]</f>
        <v>0</v>
      </c>
      <c r="L37" s="289">
        <f>SUMIF(Software_On_Premise[ID of application],Mapping_Solutions_On_Premise[[#This Row],[Application ID]],Software_On_Premise[Total emissions (kgCO2e)])*Mapping_Solutions_On_Premise[[#This Row],[% of the app contributing to this NIST Control]]</f>
        <v>0</v>
      </c>
      <c r="M37" s="289">
        <f>SUMIF(Software_On_Premise[ID of application],Mapping_Solutions_On_Premise[[#This Row],[Application ID]],Software_On_Premise[Scope 2 (kgCO2e)])*Mapping_Solutions_On_Premise[[#This Row],[% of the app contributing to this internal referential]]</f>
        <v>0</v>
      </c>
      <c r="N37" s="289">
        <f>SUMIF(Software_On_Premise[ID of application],Mapping_Solutions_On_Premise[[#This Row],[Application ID]],Software_On_Premise[Scope 3 (kgCO2e)])*Mapping_Solutions_On_Premise[[#This Row],[% of the app contributing to this internal referential]]</f>
        <v>0</v>
      </c>
      <c r="O37" s="289">
        <f>SUMIF(Software_On_Premise[ID of application],Mapping_Solutions_On_Premise[[#This Row],[Application ID]],Software_On_Premise[Total emissions (kgCO2e)])*Mapping_Solutions_On_Premise[[#This Row],[% of the app contributing to this internal referential]]</f>
        <v>0</v>
      </c>
    </row>
    <row r="38" spans="1:15">
      <c r="B38" s="263" t="s">
        <v>33</v>
      </c>
      <c r="C38" s="263" t="s">
        <v>395</v>
      </c>
      <c r="D38" s="263" t="s">
        <v>396</v>
      </c>
      <c r="E38" s="300"/>
      <c r="F38" s="285">
        <v>0.3</v>
      </c>
      <c r="G38" s="283"/>
      <c r="H38" s="284"/>
      <c r="I38" s="287" t="str">
        <f>_xlfn.XLOOKUP(Mapping_Solutions_On_Premise[[#This Row],[NIST Control]],Referential_NIST_Control[NIST Control],Referential_NIST_Control[NIST Topic])</f>
        <v>ASSET</v>
      </c>
      <c r="J38" s="288">
        <f>SUMIF(Software_On_Premise[ID of application],Mapping_Solutions_On_Premise[[#This Row],[Application ID]],Software_On_Premise[Scope 2 (kgCO2e)])*Mapping_Solutions_On_Premise[[#This Row],[% of the app contributing to this NIST Control]]</f>
        <v>0</v>
      </c>
      <c r="K38" s="288">
        <f>SUMIF(Software_On_Premise[ID of application],Mapping_Solutions_On_Premise[[#This Row],[Application ID]],Software_On_Premise[Scope 3 (kgCO2e)])*Mapping_Solutions_On_Premise[[#This Row],[% of the app contributing to this NIST Control]]</f>
        <v>0</v>
      </c>
      <c r="L38" s="289">
        <f>SUMIF(Software_On_Premise[ID of application],Mapping_Solutions_On_Premise[[#This Row],[Application ID]],Software_On_Premise[Total emissions (kgCO2e)])*Mapping_Solutions_On_Premise[[#This Row],[% of the app contributing to this NIST Control]]</f>
        <v>0</v>
      </c>
      <c r="M38" s="289">
        <f>SUMIF(Software_On_Premise[ID of application],Mapping_Solutions_On_Premise[[#This Row],[Application ID]],Software_On_Premise[Scope 2 (kgCO2e)])*Mapping_Solutions_On_Premise[[#This Row],[% of the app contributing to this internal referential]]</f>
        <v>0</v>
      </c>
      <c r="N38" s="289">
        <f>SUMIF(Software_On_Premise[ID of application],Mapping_Solutions_On_Premise[[#This Row],[Application ID]],Software_On_Premise[Scope 3 (kgCO2e)])*Mapping_Solutions_On_Premise[[#This Row],[% of the app contributing to this internal referential]]</f>
        <v>0</v>
      </c>
      <c r="O38" s="289">
        <f>SUMIF(Software_On_Premise[ID of application],Mapping_Solutions_On_Premise[[#This Row],[Application ID]],Software_On_Premise[Total emissions (kgCO2e)])*Mapping_Solutions_On_Premise[[#This Row],[% of the app contributing to this internal referential]]</f>
        <v>0</v>
      </c>
    </row>
    <row r="39" spans="1:15">
      <c r="B39" s="263" t="s">
        <v>33</v>
      </c>
      <c r="C39" s="263" t="s">
        <v>397</v>
      </c>
      <c r="D39" s="263" t="s">
        <v>398</v>
      </c>
      <c r="E39" s="300"/>
      <c r="F39" s="285">
        <v>0.2</v>
      </c>
      <c r="G39" s="283"/>
      <c r="H39" s="284"/>
      <c r="I39" s="287" t="str">
        <f>_xlfn.XLOOKUP(Mapping_Solutions_On_Premise[[#This Row],[NIST Control]],Referential_NIST_Control[NIST Control],Referential_NIST_Control[NIST Topic])</f>
        <v>ASSET</v>
      </c>
      <c r="J39" s="288">
        <f>SUMIF(Software_On_Premise[ID of application],Mapping_Solutions_On_Premise[[#This Row],[Application ID]],Software_On_Premise[Scope 2 (kgCO2e)])*Mapping_Solutions_On_Premise[[#This Row],[% of the app contributing to this NIST Control]]</f>
        <v>0</v>
      </c>
      <c r="K39" s="288">
        <f>SUMIF(Software_On_Premise[ID of application],Mapping_Solutions_On_Premise[[#This Row],[Application ID]],Software_On_Premise[Scope 3 (kgCO2e)])*Mapping_Solutions_On_Premise[[#This Row],[% of the app contributing to this NIST Control]]</f>
        <v>0</v>
      </c>
      <c r="L39" s="289">
        <f>SUMIF(Software_On_Premise[ID of application],Mapping_Solutions_On_Premise[[#This Row],[Application ID]],Software_On_Premise[Total emissions (kgCO2e)])*Mapping_Solutions_On_Premise[[#This Row],[% of the app contributing to this NIST Control]]</f>
        <v>0</v>
      </c>
      <c r="M39" s="289">
        <f>SUMIF(Software_On_Premise[ID of application],Mapping_Solutions_On_Premise[[#This Row],[Application ID]],Software_On_Premise[Scope 2 (kgCO2e)])*Mapping_Solutions_On_Premise[[#This Row],[% of the app contributing to this internal referential]]</f>
        <v>0</v>
      </c>
      <c r="N39" s="289">
        <f>SUMIF(Software_On_Premise[ID of application],Mapping_Solutions_On_Premise[[#This Row],[Application ID]],Software_On_Premise[Scope 3 (kgCO2e)])*Mapping_Solutions_On_Premise[[#This Row],[% of the app contributing to this internal referential]]</f>
        <v>0</v>
      </c>
      <c r="O39" s="289">
        <f>SUMIF(Software_On_Premise[ID of application],Mapping_Solutions_On_Premise[[#This Row],[Application ID]],Software_On_Premise[Total emissions (kgCO2e)])*Mapping_Solutions_On_Premise[[#This Row],[% of the app contributing to this internal referential]]</f>
        <v>0</v>
      </c>
    </row>
    <row r="40" spans="1:15">
      <c r="B40" s="263" t="s">
        <v>33</v>
      </c>
      <c r="C40" s="263" t="s">
        <v>399</v>
      </c>
      <c r="D40" s="263" t="s">
        <v>400</v>
      </c>
      <c r="E40" s="300"/>
      <c r="F40" s="286">
        <v>1</v>
      </c>
      <c r="G40" s="283"/>
      <c r="H40" s="284"/>
      <c r="I40" s="287" t="str">
        <f>_xlfn.XLOOKUP(Mapping_Solutions_On_Premise[[#This Row],[NIST Control]],Referential_NIST_Control[NIST Control],Referential_NIST_Control[NIST Topic])</f>
        <v>ASSET</v>
      </c>
      <c r="J40" s="288">
        <f>SUMIF(Software_On_Premise[ID of application],Mapping_Solutions_On_Premise[[#This Row],[Application ID]],Software_On_Premise[Scope 2 (kgCO2e)])*Mapping_Solutions_On_Premise[[#This Row],[% of the app contributing to this NIST Control]]</f>
        <v>0</v>
      </c>
      <c r="K40" s="288">
        <f>SUMIF(Software_On_Premise[ID of application],Mapping_Solutions_On_Premise[[#This Row],[Application ID]],Software_On_Premise[Scope 3 (kgCO2e)])*Mapping_Solutions_On_Premise[[#This Row],[% of the app contributing to this NIST Control]]</f>
        <v>0</v>
      </c>
      <c r="L40" s="289">
        <f>SUMIF(Software_On_Premise[ID of application],Mapping_Solutions_On_Premise[[#This Row],[Application ID]],Software_On_Premise[Total emissions (kgCO2e)])*Mapping_Solutions_On_Premise[[#This Row],[% of the app contributing to this NIST Control]]</f>
        <v>0</v>
      </c>
      <c r="M40" s="289">
        <f>SUMIF(Software_On_Premise[ID of application],Mapping_Solutions_On_Premise[[#This Row],[Application ID]],Software_On_Premise[Scope 2 (kgCO2e)])*Mapping_Solutions_On_Premise[[#This Row],[% of the app contributing to this internal referential]]</f>
        <v>0</v>
      </c>
      <c r="N40" s="289">
        <f>SUMIF(Software_On_Premise[ID of application],Mapping_Solutions_On_Premise[[#This Row],[Application ID]],Software_On_Premise[Scope 3 (kgCO2e)])*Mapping_Solutions_On_Premise[[#This Row],[% of the app contributing to this internal referential]]</f>
        <v>0</v>
      </c>
      <c r="O40" s="289">
        <f>SUMIF(Software_On_Premise[ID of application],Mapping_Solutions_On_Premise[[#This Row],[Application ID]],Software_On_Premise[Total emissions (kgCO2e)])*Mapping_Solutions_On_Premise[[#This Row],[% of the app contributing to this internal referential]]</f>
        <v>0</v>
      </c>
    </row>
    <row r="45" spans="1:15" ht="51" customHeight="1">
      <c r="A45" s="98" t="s">
        <v>401</v>
      </c>
    </row>
    <row r="46" spans="1:15" ht="43.5">
      <c r="B46" s="66" t="s">
        <v>28</v>
      </c>
      <c r="C46" s="66" t="s">
        <v>381</v>
      </c>
      <c r="D46" s="66" t="s">
        <v>382</v>
      </c>
      <c r="E46" s="66" t="s">
        <v>383</v>
      </c>
      <c r="F46" s="66" t="s">
        <v>384</v>
      </c>
      <c r="G46" s="66" t="s">
        <v>368</v>
      </c>
      <c r="H46" s="66" t="s">
        <v>385</v>
      </c>
      <c r="I46" s="66" t="s">
        <v>29</v>
      </c>
      <c r="J46" s="66" t="s">
        <v>386</v>
      </c>
      <c r="K46" s="66" t="s">
        <v>387</v>
      </c>
      <c r="L46" s="66" t="s">
        <v>388</v>
      </c>
      <c r="M46" s="66" t="s">
        <v>389</v>
      </c>
      <c r="N46" s="66" t="s">
        <v>390</v>
      </c>
      <c r="O46" s="66" t="s">
        <v>391</v>
      </c>
    </row>
    <row r="47" spans="1:15">
      <c r="B47" s="263" t="s">
        <v>169</v>
      </c>
      <c r="C47" s="263" t="s">
        <v>310</v>
      </c>
      <c r="D47" s="263"/>
      <c r="E47" s="300"/>
      <c r="F47" s="286">
        <v>1</v>
      </c>
      <c r="G47" s="283"/>
      <c r="H47" s="284">
        <v>1</v>
      </c>
      <c r="I47" s="287" t="str">
        <f>_xlfn.XLOOKUP(Mapping_Solutions_Cloud[[#This Row],[NIST Control]],Referential_NIST_Control[NIST Control],Referential_NIST_Control[NIST Topic])</f>
        <v>TP</v>
      </c>
      <c r="J47" s="289">
        <f>IFERROR(SUMIF(Software_Cloud_ServerMethod[ID of application],Mapping_Solutions_Cloud[[#This Row],[Application ID]],Software_On_Premise[Scope 2 (kgCO2e)])*Mapping_Solutions_Cloud[[#This Row],[% of the app contributing to this NIST Control]],0)</f>
        <v>0</v>
      </c>
      <c r="K47" s="289">
        <f>IFERROR(SUMIF(Software_Cloud_ServerMethod[ID of application],Mapping_Solutions_Cloud[[#This Row],[Application ID]],Software_Cloud_ServerMethod[Scope 3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1595568.666</v>
      </c>
      <c r="L47" s="289">
        <f>IFERROR(SUMIF(Software_Cloud_ServerMethod[ID of application],Mapping_Solutions_Cloud[[#This Row],[Application ID]],Software_Cloud_ServerMethod[Total emissions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1595568.666</v>
      </c>
      <c r="M47" s="289">
        <f>IFERROR(SUMIF(Software_Cloud_ServerMethod[ID of application],Mapping_Solutions_Cloud[[#This Row],[Application ID]],Software_On_Premise[Scope 2 (kgCO2e)])*Mapping_Solutions_Cloud[[#This Row],[% of the app contributing to this internal referential]],0)</f>
        <v>0</v>
      </c>
      <c r="N47" s="289">
        <f>IFERROR(SUMIF(Software_Cloud_ServerMethod[ID of application],Mapping_Solutions_Cloud[[#This Row],[Application ID]],Software_Cloud_ServerMethod[Scope 3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1595568.666</v>
      </c>
      <c r="O47" s="289">
        <f>IFERROR(SUMIF(Software_Cloud_ServerMethod[ID of application],Mapping_Solutions_Cloud[[#This Row],[Application ID]],Software_Cloud_ServerMethod[Total emissions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1595568.666</v>
      </c>
    </row>
    <row r="48" spans="1:15">
      <c r="B48" s="263" t="s">
        <v>163</v>
      </c>
      <c r="C48" s="263" t="s">
        <v>402</v>
      </c>
      <c r="D48" s="263" t="s">
        <v>403</v>
      </c>
      <c r="E48" s="300"/>
      <c r="F48" s="286">
        <v>1</v>
      </c>
      <c r="G48" s="283"/>
      <c r="H48" s="284"/>
      <c r="I48" s="287" t="str">
        <f>_xlfn.XLOOKUP(Mapping_Solutions_Cloud[[#This Row],[NIST Control]],Referential_NIST_Control[NIST Control],Referential_NIST_Control[NIST Topic])</f>
        <v>RISK</v>
      </c>
      <c r="J48" s="289">
        <f>IFERROR(SUMIF(Software_Cloud_ServerMethod[ID of application],Mapping_Solutions_Cloud[[#This Row],[Application ID]],Software_On_Premise[Scope 2 (kgCO2e)])*Mapping_Solutions_Cloud[[#This Row],[% of the app contributing to this NIST Control]],0)</f>
        <v>0</v>
      </c>
      <c r="K48" s="289">
        <f>IFERROR(SUMIF(Software_Cloud_ServerMethod[ID of application],Mapping_Solutions_Cloud[[#This Row],[Application ID]],Software_Cloud_ServerMethod[Scope 3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0</v>
      </c>
      <c r="L48" s="289">
        <f>IFERROR(SUMIF(Software_Cloud_ServerMethod[ID of application],Mapping_Solutions_Cloud[[#This Row],[Application ID]],Software_Cloud_ServerMethod[Total emissions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0</v>
      </c>
      <c r="M48" s="289">
        <f>IFERROR(SUMIF(Software_Cloud_ServerMethod[ID of application],Mapping_Solutions_Cloud[[#This Row],[Application ID]],Software_On_Premise[Scope 2 (kgCO2e)])*Mapping_Solutions_Cloud[[#This Row],[% of the app contributing to this internal referential]],0)</f>
        <v>0</v>
      </c>
      <c r="N48" s="289">
        <f>IFERROR(SUMIF(Software_Cloud_ServerMethod[ID of application],Mapping_Solutions_Cloud[[#This Row],[Application ID]],Software_Cloud_ServerMethod[Scope 3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0</v>
      </c>
      <c r="O48" s="289">
        <f>IFERROR(SUMIF(Software_Cloud_ServerMethod[ID of application],Mapping_Solutions_Cloud[[#This Row],[Application ID]],Software_Cloud_ServerMethod[Total emissions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0</v>
      </c>
    </row>
    <row r="49" spans="2:15">
      <c r="B49" s="263" t="s">
        <v>33</v>
      </c>
      <c r="C49" s="263" t="s">
        <v>404</v>
      </c>
      <c r="D49" s="263"/>
      <c r="E49" s="300"/>
      <c r="F49" s="286">
        <v>1</v>
      </c>
      <c r="G49" s="283"/>
      <c r="H49" s="284"/>
      <c r="I49" s="287" t="str">
        <f>_xlfn.XLOOKUP(Mapping_Solutions_Cloud[[#This Row],[NIST Control]],Referential_NIST_Control[NIST Control],Referential_NIST_Control[NIST Topic])</f>
        <v>ASSET</v>
      </c>
      <c r="J49" s="289">
        <f>IFERROR(SUMIF(Software_Cloud_ServerMethod[ID of application],Mapping_Solutions_Cloud[[#This Row],[Application ID]],Software_On_Premise[Scope 2 (kgCO2e)])*Mapping_Solutions_Cloud[[#This Row],[% of the app contributing to this NIST Control]],0)</f>
        <v>0</v>
      </c>
      <c r="K49" s="289">
        <f>IFERROR(SUMIF(Software_Cloud_ServerMethod[ID of application],Mapping_Solutions_Cloud[[#This Row],[Application ID]],Software_Cloud_ServerMethod[Scope 3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0</v>
      </c>
      <c r="L49" s="289">
        <f>IFERROR(SUMIF(Software_Cloud_ServerMethod[ID of application],Mapping_Solutions_Cloud[[#This Row],[Application ID]],Software_Cloud_ServerMethod[Total emissions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0</v>
      </c>
      <c r="M49" s="289">
        <f>IFERROR(SUMIF(Software_Cloud_ServerMethod[ID of application],Mapping_Solutions_Cloud[[#This Row],[Application ID]],Software_On_Premise[Scope 2 (kgCO2e)])*Mapping_Solutions_Cloud[[#This Row],[% of the app contributing to this internal referential]],0)</f>
        <v>0</v>
      </c>
      <c r="N49" s="289">
        <f>IFERROR(SUMIF(Software_Cloud_ServerMethod[ID of application],Mapping_Solutions_Cloud[[#This Row],[Application ID]],Software_Cloud_ServerMethod[Scope 3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0</v>
      </c>
      <c r="O49" s="289">
        <f>IFERROR(SUMIF(Software_Cloud_ServerMethod[ID of application],Mapping_Solutions_Cloud[[#This Row],[Application ID]],Software_Cloud_ServerMethod[Total emissions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0</v>
      </c>
    </row>
    <row r="50" spans="2:15">
      <c r="B50" s="263" t="s">
        <v>33</v>
      </c>
      <c r="C50" s="263" t="s">
        <v>311</v>
      </c>
      <c r="D50" s="263"/>
      <c r="E50" s="300"/>
      <c r="F50" s="286">
        <v>1</v>
      </c>
      <c r="G50" s="283"/>
      <c r="H50" s="284"/>
      <c r="I50" s="287" t="str">
        <f>_xlfn.XLOOKUP(Mapping_Solutions_Cloud[[#This Row],[NIST Control]],Referential_NIST_Control[NIST Control],Referential_NIST_Control[NIST Topic])</f>
        <v>ASSET</v>
      </c>
      <c r="J50" s="289">
        <f>IFERROR(SUMIF(Software_Cloud_ServerMethod[ID of application],Mapping_Solutions_Cloud[[#This Row],[Application ID]],Software_On_Premise[Scope 2 (kgCO2e)])*Mapping_Solutions_Cloud[[#This Row],[% of the app contributing to this NIST Control]],0)</f>
        <v>0</v>
      </c>
      <c r="K50" s="289">
        <f>IFERROR(SUMIF(Software_Cloud_ServerMethod[ID of application],Mapping_Solutions_Cloud[[#This Row],[Application ID]],Software_Cloud_ServerMethod[Scope 3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1595568.666</v>
      </c>
      <c r="L50" s="289">
        <f>IFERROR(SUMIF(Software_Cloud_ServerMethod[ID of application],Mapping_Solutions_Cloud[[#This Row],[Application ID]],Software_Cloud_ServerMethod[Total emissions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1595568.666</v>
      </c>
      <c r="M50" s="289">
        <f>IFERROR(SUMIF(Software_Cloud_ServerMethod[ID of application],Mapping_Solutions_Cloud[[#This Row],[Application ID]],Software_On_Premise[Scope 2 (kgCO2e)])*Mapping_Solutions_Cloud[[#This Row],[% of the app contributing to this internal referential]],0)</f>
        <v>0</v>
      </c>
      <c r="N50" s="289">
        <f>IFERROR(SUMIF(Software_Cloud_ServerMethod[ID of application],Mapping_Solutions_Cloud[[#This Row],[Application ID]],Software_Cloud_ServerMethod[Scope 3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0</v>
      </c>
      <c r="O50" s="289">
        <f>IFERROR(SUMIF(Software_Cloud_ServerMethod[ID of application],Mapping_Solutions_Cloud[[#This Row],[Application ID]],Software_Cloud_ServerMethod[Total emissions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0</v>
      </c>
    </row>
    <row r="51" spans="2:15">
      <c r="B51" s="263" t="s">
        <v>117</v>
      </c>
      <c r="C51" s="263" t="s">
        <v>312</v>
      </c>
      <c r="D51" s="263"/>
      <c r="E51" s="300"/>
      <c r="F51" s="286">
        <v>1</v>
      </c>
      <c r="G51" s="283"/>
      <c r="H51" s="284"/>
      <c r="I51" s="287" t="str">
        <f>_xlfn.XLOOKUP(Mapping_Solutions_Cloud[[#This Row],[NIST Control]],Referential_NIST_Control[NIST Control],Referential_NIST_Control[NIST Topic])</f>
        <v>NTW</v>
      </c>
      <c r="J51" s="289">
        <f>IFERROR(SUMIF(Software_Cloud_ServerMethod[ID of application],Mapping_Solutions_Cloud[[#This Row],[Application ID]],Software_On_Premise[Scope 2 (kgCO2e)])*Mapping_Solutions_Cloud[[#This Row],[% of the app contributing to this NIST Control]],0)</f>
        <v>0</v>
      </c>
      <c r="K51" s="289">
        <f>IFERROR(SUMIF(Software_Cloud_ServerMethod[ID of application],Mapping_Solutions_Cloud[[#This Row],[Application ID]],Software_Cloud_ServerMethod[Scope 3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1223269.311</v>
      </c>
      <c r="L51" s="289">
        <f>IFERROR(SUMIF(Software_Cloud_ServerMethod[ID of application],Mapping_Solutions_Cloud[[#This Row],[Application ID]],Software_Cloud_ServerMethod[Total emissions (kgCO2e)])*Mapping_Solutions_Cloud[[#This Row],[% of the app contributing to this NIST Control]],0)
+IFERROR(SUMIF(Software_Cloud_CostMethod[ID of application],Mapping_Solutions_Cloud[[#This Row],[Application ID]],Software_Cloud_CostMethod[Total emissions (kgCO2e)])*Mapping_Solutions_Cloud[[#This Row],[% of the app contributing to this NIST Control]],0)</f>
        <v>1223269.311</v>
      </c>
      <c r="M51" s="289">
        <f>IFERROR(SUMIF(Software_Cloud_ServerMethod[ID of application],Mapping_Solutions_Cloud[[#This Row],[Application ID]],Software_On_Premise[Scope 2 (kgCO2e)])*Mapping_Solutions_Cloud[[#This Row],[% of the app contributing to this internal referential]],0)</f>
        <v>0</v>
      </c>
      <c r="N51" s="289">
        <f>IFERROR(SUMIF(Software_Cloud_ServerMethod[ID of application],Mapping_Solutions_Cloud[[#This Row],[Application ID]],Software_Cloud_ServerMethod[Scope 3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0</v>
      </c>
      <c r="O51" s="289">
        <f>IFERROR(SUMIF(Software_Cloud_ServerMethod[ID of application],Mapping_Solutions_Cloud[[#This Row],[Application ID]],Software_Cloud_ServerMethod[Total emissions (kgCO2e)])*Mapping_Solutions_Cloud[[#This Row],[% of the app contributing to this internal referential]],0)
+IFERROR(SUMIF(Software_Cloud_CostMethod[ID of application],Mapping_Solutions_Cloud[[#This Row],[Application ID]],Software_Cloud_CostMethod[Total emissions (kgCO2e)])*Mapping_Solutions_Cloud[[#This Row],[% of the app contributing to this internal referential]],0)</f>
        <v>0</v>
      </c>
    </row>
  </sheetData>
  <phoneticPr fontId="13" type="noConversion"/>
  <pageMargins left="0.7" right="0.7" top="0.75" bottom="0.75" header="0.3" footer="0.3"/>
  <tableParts count="3">
    <tablePart r:id="rId1"/>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BC44-08D9-48BA-ADBD-25923AE77377}">
  <sheetPr>
    <tabColor theme="5" tint="0.79998168889431442"/>
  </sheetPr>
  <dimension ref="A2:K50"/>
  <sheetViews>
    <sheetView showGridLines="0" topLeftCell="A3" zoomScale="40" zoomScaleNormal="40" workbookViewId="0">
      <selection activeCell="E52" sqref="E52"/>
    </sheetView>
  </sheetViews>
  <sheetFormatPr defaultColWidth="8.85546875" defaultRowHeight="14.45" outlineLevelRow="1"/>
  <cols>
    <col min="1" max="1" width="43.140625" customWidth="1"/>
    <col min="2" max="2" width="36.85546875" bestFit="1" customWidth="1"/>
    <col min="3" max="3" width="30.85546875" customWidth="1"/>
    <col min="4" max="4" width="45.85546875" customWidth="1"/>
    <col min="5" max="5" width="29.42578125" customWidth="1"/>
    <col min="6" max="6" width="26.85546875" customWidth="1"/>
    <col min="7" max="7" width="25" customWidth="1"/>
    <col min="8" max="8" width="23.42578125" customWidth="1"/>
    <col min="9" max="9" width="19.140625" customWidth="1"/>
    <col min="10" max="10" width="24.85546875" customWidth="1"/>
    <col min="11" max="11" width="25.85546875" customWidth="1"/>
  </cols>
  <sheetData>
    <row r="2" spans="1:5" ht="15.6">
      <c r="A2" s="196" t="s">
        <v>216</v>
      </c>
    </row>
    <row r="3" spans="1:5" ht="15.6">
      <c r="B3" s="160" t="s">
        <v>217</v>
      </c>
    </row>
    <row r="4" spans="1:5" ht="29.1">
      <c r="B4" s="227" t="s">
        <v>228</v>
      </c>
    </row>
    <row r="5" spans="1:5" ht="29.1">
      <c r="B5" s="224" t="s">
        <v>219</v>
      </c>
    </row>
    <row r="6" spans="1:5" ht="29.1">
      <c r="B6" s="228" t="s">
        <v>220</v>
      </c>
    </row>
    <row r="7" spans="1:5" ht="29.1">
      <c r="B7" s="229" t="s">
        <v>229</v>
      </c>
    </row>
    <row r="8" spans="1:5">
      <c r="B8" s="164" t="s">
        <v>221</v>
      </c>
    </row>
    <row r="10" spans="1:5" ht="15.6">
      <c r="A10" s="196" t="s">
        <v>222</v>
      </c>
    </row>
    <row r="11" spans="1:5">
      <c r="B11" s="152" t="s">
        <v>405</v>
      </c>
      <c r="C11" s="156">
        <f>SUM(Mapping_External_Results_by_TOPIC[Total External services emissions (kgCO2e)])/1000</f>
        <v>391.38189693842082</v>
      </c>
    </row>
    <row r="12" spans="1:5" ht="29.1">
      <c r="B12" s="154" t="str">
        <f>"Scope 2 "&amp;B11</f>
        <v>Scope 2 External services emissions (tCO2e)</v>
      </c>
      <c r="C12" s="156">
        <v>0</v>
      </c>
    </row>
    <row r="13" spans="1:5" ht="29.1">
      <c r="B13" s="154" t="str">
        <f>"Scope 3 "&amp;B11</f>
        <v>Scope 3 External services emissions (tCO2e)</v>
      </c>
      <c r="C13" s="156">
        <f>SUM(Mapping_Externals_TM[NIST carbon emission (kgCO2e)],Mapping_Externals_Fixed_Price[NIST carbon emission (kgCO2e)])/1000</f>
        <v>391.38189693842082</v>
      </c>
    </row>
    <row r="15" spans="1:5" ht="29.1" outlineLevel="1">
      <c r="B15" s="113" t="s">
        <v>13</v>
      </c>
      <c r="C15" s="113" t="s">
        <v>406</v>
      </c>
      <c r="D15" s="113" t="s">
        <v>321</v>
      </c>
      <c r="E15" s="113" t="s">
        <v>334</v>
      </c>
    </row>
    <row r="16" spans="1:5" outlineLevel="1">
      <c r="B16" s="132" t="s">
        <v>14</v>
      </c>
      <c r="C16" s="157">
        <f>SUM(Mapping_External_Results_by_TOPIC[[#This Row],[T&amp;M Services dedicated to cyber]:[Cyber Fixed Price Services dedicated to cyber]])</f>
        <v>0</v>
      </c>
      <c r="D16" s="157">
        <f>SUMIF(Mapping_Externals_TM[NIST Topic],Mapping_External_Results_by_TOPIC[[#This Row],[Topics]],Mapping_Externals_TM[NIST carbon emission (kgCO2e)])</f>
        <v>0</v>
      </c>
      <c r="E16" s="157">
        <f>SUMIF(Mapping_Externals_Fixed_Price[NIST Topic],Mapping_External_Results_by_TOPIC[[#This Row],[Topics]],Mapping_Externals_Fixed_Price[NIST carbon emission (kgCO2e)])</f>
        <v>0</v>
      </c>
    </row>
    <row r="17" spans="2:5" outlineLevel="1">
      <c r="B17" s="132" t="s">
        <v>15</v>
      </c>
      <c r="C17" s="157">
        <f>SUM(Mapping_External_Results_by_TOPIC[[#This Row],[T&amp;M Services dedicated to cyber]:[Cyber Fixed Price Services dedicated to cyber]])</f>
        <v>7441.8396597186011</v>
      </c>
      <c r="D17" s="157">
        <f>SUMIF(Mapping_Externals_TM[NIST Topic],Mapping_External_Results_by_TOPIC[[#This Row],[Topics]],Mapping_Externals_TM[NIST carbon emission (kgCO2e)])</f>
        <v>7335.2700491382002</v>
      </c>
      <c r="E17" s="157">
        <f>SUMIF(Mapping_Externals_Fixed_Price[NIST Topic],Mapping_External_Results_by_TOPIC[[#This Row],[Topics]],Mapping_Externals_Fixed_Price[NIST carbon emission (kgCO2e)])</f>
        <v>106.56961058040093</v>
      </c>
    </row>
    <row r="18" spans="2:5" outlineLevel="1">
      <c r="B18" s="132" t="s">
        <v>16</v>
      </c>
      <c r="C18" s="157">
        <f>SUM(Mapping_External_Results_by_TOPIC[[#This Row],[T&amp;M Services dedicated to cyber]:[Cyber Fixed Price Services dedicated to cyber]])</f>
        <v>0</v>
      </c>
      <c r="D18" s="157">
        <f>SUMIF(Mapping_Externals_TM[NIST Topic],Mapping_External_Results_by_TOPIC[[#This Row],[Topics]],Mapping_Externals_TM[NIST carbon emission (kgCO2e)])</f>
        <v>0</v>
      </c>
      <c r="E18" s="157">
        <f>SUMIF(Mapping_Externals_Fixed_Price[NIST Topic],Mapping_External_Results_by_TOPIC[[#This Row],[Topics]],Mapping_Externals_Fixed_Price[NIST carbon emission (kgCO2e)])</f>
        <v>0</v>
      </c>
    </row>
    <row r="19" spans="2:5" outlineLevel="1">
      <c r="B19" s="132" t="s">
        <v>17</v>
      </c>
      <c r="C19" s="157">
        <f>SUM(Mapping_External_Results_by_TOPIC[[#This Row],[T&amp;M Services dedicated to cyber]:[Cyber Fixed Price Services dedicated to cyber]])</f>
        <v>0</v>
      </c>
      <c r="D19" s="157">
        <f>SUMIF(Mapping_Externals_TM[NIST Topic],Mapping_External_Results_by_TOPIC[[#This Row],[Topics]],Mapping_Externals_TM[NIST carbon emission (kgCO2e)])</f>
        <v>0</v>
      </c>
      <c r="E19" s="157">
        <f>SUMIF(Mapping_Externals_Fixed_Price[NIST Topic],Mapping_External_Results_by_TOPIC[[#This Row],[Topics]],Mapping_Externals_Fixed_Price[NIST carbon emission (kgCO2e)])</f>
        <v>0</v>
      </c>
    </row>
    <row r="20" spans="2:5" outlineLevel="1">
      <c r="B20" s="132" t="s">
        <v>18</v>
      </c>
      <c r="C20" s="157">
        <f>SUM(Mapping_External_Results_by_TOPIC[[#This Row],[T&amp;M Services dedicated to cyber]:[Cyber Fixed Price Services dedicated to cyber]])</f>
        <v>0</v>
      </c>
      <c r="D20" s="157">
        <f>SUMIF(Mapping_Externals_TM[NIST Topic],Mapping_External_Results_by_TOPIC[[#This Row],[Topics]],Mapping_Externals_TM[NIST carbon emission (kgCO2e)])</f>
        <v>0</v>
      </c>
      <c r="E20" s="157">
        <f>SUMIF(Mapping_Externals_Fixed_Price[NIST Topic],Mapping_External_Results_by_TOPIC[[#This Row],[Topics]],Mapping_Externals_Fixed_Price[NIST carbon emission (kgCO2e)])</f>
        <v>0</v>
      </c>
    </row>
    <row r="21" spans="2:5" outlineLevel="1">
      <c r="B21" s="132" t="s">
        <v>19</v>
      </c>
      <c r="C21" s="157">
        <f>SUM(Mapping_External_Results_by_TOPIC[[#This Row],[T&amp;M Services dedicated to cyber]:[Cyber Fixed Price Services dedicated to cyber]])</f>
        <v>0</v>
      </c>
      <c r="D21" s="157">
        <f>SUMIF(Mapping_Externals_TM[NIST Topic],Mapping_External_Results_by_TOPIC[[#This Row],[Topics]],Mapping_Externals_TM[NIST carbon emission (kgCO2e)])</f>
        <v>0</v>
      </c>
      <c r="E21" s="157">
        <f>SUMIF(Mapping_Externals_Fixed_Price[NIST Topic],Mapping_External_Results_by_TOPIC[[#This Row],[Topics]],Mapping_Externals_Fixed_Price[NIST carbon emission (kgCO2e)])</f>
        <v>0</v>
      </c>
    </row>
    <row r="22" spans="2:5" outlineLevel="1">
      <c r="B22" s="132" t="s">
        <v>20</v>
      </c>
      <c r="C22" s="157">
        <f>SUM(Mapping_External_Results_by_TOPIC[[#This Row],[T&amp;M Services dedicated to cyber]:[Cyber Fixed Price Services dedicated to cyber]])</f>
        <v>0</v>
      </c>
      <c r="D22" s="157">
        <f>SUMIF(Mapping_Externals_TM[NIST Topic],Mapping_External_Results_by_TOPIC[[#This Row],[Topics]],Mapping_Externals_TM[NIST carbon emission (kgCO2e)])</f>
        <v>0</v>
      </c>
      <c r="E22" s="157">
        <f>SUMIF(Mapping_Externals_Fixed_Price[NIST Topic],Mapping_External_Results_by_TOPIC[[#This Row],[Topics]],Mapping_Externals_Fixed_Price[NIST carbon emission (kgCO2e)])</f>
        <v>0</v>
      </c>
    </row>
    <row r="23" spans="2:5" outlineLevel="1">
      <c r="B23" s="132" t="s">
        <v>21</v>
      </c>
      <c r="C23" s="157">
        <f>SUM(Mapping_External_Results_by_TOPIC[[#This Row],[T&amp;M Services dedicated to cyber]:[Cyber Fixed Price Services dedicated to cyber]])</f>
        <v>0</v>
      </c>
      <c r="D23" s="157">
        <f>SUMIF(Mapping_Externals_TM[NIST Topic],Mapping_External_Results_by_TOPIC[[#This Row],[Topics]],Mapping_Externals_TM[NIST carbon emission (kgCO2e)])</f>
        <v>0</v>
      </c>
      <c r="E23" s="157">
        <f>SUMIF(Mapping_Externals_Fixed_Price[NIST Topic],Mapping_External_Results_by_TOPIC[[#This Row],[Topics]],Mapping_Externals_Fixed_Price[NIST carbon emission (kgCO2e)])</f>
        <v>0</v>
      </c>
    </row>
    <row r="24" spans="2:5" outlineLevel="1">
      <c r="B24" s="132" t="s">
        <v>22</v>
      </c>
      <c r="C24" s="157">
        <f>SUM(Mapping_External_Results_by_TOPIC[[#This Row],[T&amp;M Services dedicated to cyber]:[Cyber Fixed Price Services dedicated to cyber]])</f>
        <v>0</v>
      </c>
      <c r="D24" s="157">
        <f>SUMIF(Mapping_Externals_TM[NIST Topic],Mapping_External_Results_by_TOPIC[[#This Row],[Topics]],Mapping_Externals_TM[NIST carbon emission (kgCO2e)])</f>
        <v>0</v>
      </c>
      <c r="E24" s="157">
        <f>SUMIF(Mapping_Externals_Fixed_Price[NIST Topic],Mapping_External_Results_by_TOPIC[[#This Row],[Topics]],Mapping_Externals_Fixed_Price[NIST carbon emission (kgCO2e)])</f>
        <v>0</v>
      </c>
    </row>
    <row r="25" spans="2:5" outlineLevel="1">
      <c r="B25" s="132" t="s">
        <v>23</v>
      </c>
      <c r="C25" s="157">
        <f>SUM(Mapping_External_Results_by_TOPIC[[#This Row],[T&amp;M Services dedicated to cyber]:[Cyber Fixed Price Services dedicated to cyber]])</f>
        <v>15470.355135921536</v>
      </c>
      <c r="D25" s="157">
        <f>SUMIF(Mapping_Externals_TM[NIST Topic],Mapping_External_Results_by_TOPIC[[#This Row],[Topics]],Mapping_Externals_TM[NIST carbon emission (kgCO2e)])</f>
        <v>15363.785525341134</v>
      </c>
      <c r="E25" s="157">
        <f>SUMIF(Mapping_Externals_Fixed_Price[NIST Topic],Mapping_External_Results_by_TOPIC[[#This Row],[Topics]],Mapping_Externals_Fixed_Price[NIST carbon emission (kgCO2e)])</f>
        <v>106.56961058040093</v>
      </c>
    </row>
    <row r="26" spans="2:5" outlineLevel="1">
      <c r="B26" s="132" t="s">
        <v>24</v>
      </c>
      <c r="C26" s="157">
        <f>SUM(Mapping_External_Results_by_TOPIC[[#This Row],[T&amp;M Services dedicated to cyber]:[Cyber Fixed Price Services dedicated to cyber]])</f>
        <v>0</v>
      </c>
      <c r="D26" s="157">
        <f>SUMIF(Mapping_Externals_TM[NIST Topic],Mapping_External_Results_by_TOPIC[[#This Row],[Topics]],Mapping_Externals_TM[NIST carbon emission (kgCO2e)])</f>
        <v>0</v>
      </c>
      <c r="E26" s="157">
        <f>SUMIF(Mapping_Externals_Fixed_Price[NIST Topic],Mapping_External_Results_by_TOPIC[[#This Row],[Topics]],Mapping_Externals_Fixed_Price[NIST carbon emission (kgCO2e)])</f>
        <v>0</v>
      </c>
    </row>
    <row r="27" spans="2:5" outlineLevel="1">
      <c r="B27" s="132" t="s">
        <v>25</v>
      </c>
      <c r="C27" s="157">
        <f>SUM(Mapping_External_Results_by_TOPIC[[#This Row],[T&amp;M Services dedicated to cyber]:[Cyber Fixed Price Services dedicated to cyber]])</f>
        <v>0</v>
      </c>
      <c r="D27" s="157">
        <f>SUMIF(Mapping_Externals_TM[NIST Topic],Mapping_External_Results_by_TOPIC[[#This Row],[Topics]],Mapping_Externals_TM[NIST carbon emission (kgCO2e)])</f>
        <v>0</v>
      </c>
      <c r="E27" s="157">
        <f>SUMIF(Mapping_Externals_Fixed_Price[NIST Topic],Mapping_External_Results_by_TOPIC[[#This Row],[Topics]],Mapping_Externals_Fixed_Price[NIST carbon emission (kgCO2e)])</f>
        <v>0</v>
      </c>
    </row>
    <row r="28" spans="2:5" outlineLevel="1">
      <c r="B28" s="132" t="s">
        <v>26</v>
      </c>
      <c r="C28" s="157">
        <f>SUM(Mapping_External_Results_by_TOPIC[[#This Row],[T&amp;M Services dedicated to cyber]:[Cyber Fixed Price Services dedicated to cyber]])</f>
        <v>319.7088317412028</v>
      </c>
      <c r="D28" s="157">
        <f>SUMIF(Mapping_Externals_TM[NIST Topic],Mapping_External_Results_by_TOPIC[[#This Row],[Topics]],Mapping_Externals_TM[NIST carbon emission (kgCO2e)])</f>
        <v>0</v>
      </c>
      <c r="E28" s="157">
        <f>SUMIF(Mapping_Externals_Fixed_Price[NIST Topic],Mapping_External_Results_by_TOPIC[[#This Row],[Topics]],Mapping_Externals_Fixed_Price[NIST carbon emission (kgCO2e)])</f>
        <v>319.7088317412028</v>
      </c>
    </row>
    <row r="29" spans="2:5" outlineLevel="1">
      <c r="B29" s="132" t="s">
        <v>27</v>
      </c>
      <c r="C29" s="157">
        <f>SUM(Mapping_External_Results_by_TOPIC[[#This Row],[T&amp;M Services dedicated to cyber]:[Cyber Fixed Price Services dedicated to cyber]])</f>
        <v>368149.99331103952</v>
      </c>
      <c r="D29" s="157">
        <f>SUMIF(Mapping_Externals_TM[NIST Topic],Mapping_External_Results_by_TOPIC[[#This Row],[Topics]],Mapping_Externals_TM[NIST carbon emission (kgCO2e)])</f>
        <v>337422.42226035724</v>
      </c>
      <c r="E29" s="157">
        <f>SUMIF(Mapping_Externals_Fixed_Price[NIST Topic],Mapping_External_Results_by_TOPIC[[#This Row],[Topics]],Mapping_Externals_Fixed_Price[NIST carbon emission (kgCO2e)])</f>
        <v>30727.571050682269</v>
      </c>
    </row>
    <row r="30" spans="2:5">
      <c r="B30" s="22" t="s">
        <v>367</v>
      </c>
      <c r="C30" s="159">
        <f>SUM(Mapping_External_Results_by_TOPIC[Total External services emissions (kgCO2e)])</f>
        <v>391381.89693842083</v>
      </c>
      <c r="D30" s="159">
        <f>SUM(Mapping_External_Results_by_TOPIC[T&amp;M Services dedicated to cyber])</f>
        <v>360121.47783483658</v>
      </c>
      <c r="E30" s="159">
        <f>SUM(Mapping_External_Results_by_TOPIC[Cyber Fixed Price Services dedicated to cyber])</f>
        <v>31260.419103584274</v>
      </c>
    </row>
    <row r="33" spans="1:11" ht="21">
      <c r="A33" s="98" t="s">
        <v>321</v>
      </c>
    </row>
    <row r="34" spans="1:11" ht="29.1">
      <c r="B34" s="66" t="s">
        <v>28</v>
      </c>
      <c r="C34" s="66" t="s">
        <v>407</v>
      </c>
      <c r="D34" s="66" t="s">
        <v>408</v>
      </c>
      <c r="E34" s="66" t="s">
        <v>409</v>
      </c>
      <c r="F34" s="66" t="s">
        <v>410</v>
      </c>
      <c r="G34" s="66" t="s">
        <v>368</v>
      </c>
      <c r="H34" s="66" t="s">
        <v>385</v>
      </c>
      <c r="I34" s="66" t="s">
        <v>29</v>
      </c>
      <c r="J34" s="66" t="s">
        <v>411</v>
      </c>
      <c r="K34" s="66" t="s">
        <v>412</v>
      </c>
    </row>
    <row r="35" spans="1:11">
      <c r="B35" s="263" t="s">
        <v>169</v>
      </c>
      <c r="C35" s="263" t="s">
        <v>330</v>
      </c>
      <c r="D35" s="263"/>
      <c r="E35" s="300"/>
      <c r="F35" s="282">
        <v>0.5</v>
      </c>
      <c r="G35" s="283"/>
      <c r="H35" s="284"/>
      <c r="I35" s="290" t="str">
        <f>_xlfn.XLOOKUP(Mapping_Externals_TM[[#This Row],[NIST Control]],Referential_NIST_Control[NIST Control],Referential_NIST_Control[NIST Topic])</f>
        <v>TP</v>
      </c>
      <c r="J35" s="289">
        <f>IFERROR(SUMIF(External_TM[ID of service],Mapping_Externals_TM[[#This Row],[Service ID]],External_TM[Total emissions (kgCO2e)])*Mapping_Externals_TM[[#This Row],[% of the app contributing 
to this NIST Control]],0)</f>
        <v>337422.42226035724</v>
      </c>
      <c r="K35" s="289">
        <f>IFERROR(_xlfn.XLOOKUP(Mapping_Externals_TM[[#This Row],[Service ID]],External_TM[ID of service],External_TM[Total emissions (kgCO2e)])*Mapping_Externals_TM[[#This Row],[% of the app contributing to this internal referential]],0)</f>
        <v>0</v>
      </c>
    </row>
    <row r="36" spans="1:11">
      <c r="B36" s="263" t="s">
        <v>163</v>
      </c>
      <c r="C36" s="263" t="s">
        <v>413</v>
      </c>
      <c r="D36" s="263"/>
      <c r="E36" s="300"/>
      <c r="F36" s="285">
        <v>0.5</v>
      </c>
      <c r="G36" s="283"/>
      <c r="H36" s="284"/>
      <c r="I36" s="290" t="str">
        <f>_xlfn.XLOOKUP(Mapping_Externals_TM[[#This Row],[NIST Control]],Referential_NIST_Control[NIST Control],Referential_NIST_Control[NIST Topic])</f>
        <v>RISK</v>
      </c>
      <c r="J36" s="289">
        <f>IFERROR(SUMIF(External_TM[ID of service],Mapping_Externals_TM[[#This Row],[Service ID]],External_TM[Total emissions (kgCO2e)])*Mapping_Externals_TM[[#This Row],[% of the app contributing 
to this NIST Control]],0)</f>
        <v>0</v>
      </c>
      <c r="K36" s="289">
        <f>IFERROR(_xlfn.XLOOKUP(Mapping_Externals_TM[[#This Row],[Service ID]],External_TM[ID of service],External_TM[Total emissions (kgCO2e)])*Mapping_Externals_TM[[#This Row],[% of the app contributing to this internal referential]],0)</f>
        <v>0</v>
      </c>
    </row>
    <row r="37" spans="1:11">
      <c r="B37" s="263" t="s">
        <v>33</v>
      </c>
      <c r="C37" s="263" t="s">
        <v>331</v>
      </c>
      <c r="D37" s="263"/>
      <c r="E37" s="300"/>
      <c r="F37" s="285">
        <v>0.5</v>
      </c>
      <c r="G37" s="283"/>
      <c r="H37" s="284"/>
      <c r="I37" s="290" t="str">
        <f>_xlfn.XLOOKUP(Mapping_Externals_TM[[#This Row],[NIST Control]],Referential_NIST_Control[NIST Control],Referential_NIST_Control[NIST Topic])</f>
        <v>ASSET</v>
      </c>
      <c r="J37" s="289">
        <f>IFERROR(SUMIF(External_TM[ID of service],Mapping_Externals_TM[[#This Row],[Service ID]],External_TM[Total emissions (kgCO2e)])*Mapping_Externals_TM[[#This Row],[% of the app contributing 
to this NIST Control]],0)</f>
        <v>2445.0900163793999</v>
      </c>
      <c r="K37" s="289">
        <f>IFERROR(_xlfn.XLOOKUP(Mapping_Externals_TM[[#This Row],[Service ID]],External_TM[ID of service],External_TM[Total emissions (kgCO2e)])*Mapping_Externals_TM[[#This Row],[% of the app contributing to this internal referential]],0)</f>
        <v>0</v>
      </c>
    </row>
    <row r="38" spans="1:11">
      <c r="B38" s="263" t="s">
        <v>33</v>
      </c>
      <c r="C38" s="263" t="s">
        <v>332</v>
      </c>
      <c r="D38" s="263"/>
      <c r="E38" s="300"/>
      <c r="F38" s="285">
        <v>0.5</v>
      </c>
      <c r="G38" s="283"/>
      <c r="H38" s="284"/>
      <c r="I38" s="290" t="str">
        <f>_xlfn.XLOOKUP(Mapping_Externals_TM[[#This Row],[NIST Control]],Referential_NIST_Control[NIST Control],Referential_NIST_Control[NIST Topic])</f>
        <v>ASSET</v>
      </c>
      <c r="J38" s="289">
        <f>IFERROR(SUMIF(External_TM[ID of service],Mapping_Externals_TM[[#This Row],[Service ID]],External_TM[Total emissions (kgCO2e)])*Mapping_Externals_TM[[#This Row],[% of the app contributing 
to this NIST Control]],0)</f>
        <v>4890.1800327587998</v>
      </c>
      <c r="K38" s="289">
        <f>IFERROR(_xlfn.XLOOKUP(Mapping_Externals_TM[[#This Row],[Service ID]],External_TM[ID of service],External_TM[Total emissions (kgCO2e)])*Mapping_Externals_TM[[#This Row],[% of the app contributing to this internal referential]],0)</f>
        <v>0</v>
      </c>
    </row>
    <row r="39" spans="1:11">
      <c r="B39" s="263" t="s">
        <v>117</v>
      </c>
      <c r="C39" s="263" t="s">
        <v>333</v>
      </c>
      <c r="D39" s="263"/>
      <c r="E39" s="300"/>
      <c r="F39" s="285">
        <v>0.5</v>
      </c>
      <c r="G39" s="283"/>
      <c r="H39" s="284"/>
      <c r="I39" s="290" t="str">
        <f>_xlfn.XLOOKUP(Mapping_Externals_TM[[#This Row],[NIST Control]],Referential_NIST_Control[NIST Control],Referential_NIST_Control[NIST Topic])</f>
        <v>NTW</v>
      </c>
      <c r="J39" s="289">
        <f>IFERROR(SUMIF(External_TM[ID of service],Mapping_Externals_TM[[#This Row],[Service ID]],External_TM[Total emissions (kgCO2e)])*Mapping_Externals_TM[[#This Row],[% of the app contributing 
to this NIST Control]],0)</f>
        <v>15363.785525341134</v>
      </c>
      <c r="K39" s="289">
        <f>IFERROR(_xlfn.XLOOKUP(Mapping_Externals_TM[[#This Row],[Service ID]],External_TM[ID of service],External_TM[Total emissions (kgCO2e)])*Mapping_Externals_TM[[#This Row],[% of the app contributing to this internal referential]],0)</f>
        <v>0</v>
      </c>
    </row>
    <row r="44" spans="1:11" ht="42">
      <c r="A44" s="98" t="s">
        <v>334</v>
      </c>
    </row>
    <row r="45" spans="1:11" ht="29.1">
      <c r="B45" s="66" t="s">
        <v>28</v>
      </c>
      <c r="C45" s="66" t="s">
        <v>407</v>
      </c>
      <c r="D45" s="66" t="s">
        <v>408</v>
      </c>
      <c r="E45" s="66" t="s">
        <v>409</v>
      </c>
      <c r="F45" s="66" t="s">
        <v>410</v>
      </c>
      <c r="G45" s="66" t="s">
        <v>368</v>
      </c>
      <c r="H45" s="66" t="s">
        <v>385</v>
      </c>
      <c r="I45" s="66" t="s">
        <v>29</v>
      </c>
      <c r="J45" s="66" t="s">
        <v>411</v>
      </c>
      <c r="K45" s="66" t="s">
        <v>412</v>
      </c>
    </row>
    <row r="46" spans="1:11">
      <c r="B46" s="263" t="s">
        <v>169</v>
      </c>
      <c r="C46" s="263" t="s">
        <v>335</v>
      </c>
      <c r="D46" s="263"/>
      <c r="E46" s="300"/>
      <c r="F46" s="282">
        <v>1</v>
      </c>
      <c r="G46" s="283"/>
      <c r="H46" s="284"/>
      <c r="I46" s="290" t="str">
        <f>_xlfn.XLOOKUP(Mapping_Externals_Fixed_Price[[#This Row],[NIST Control]],Referential_NIST_Control[NIST Control],Referential_NIST_Control[NIST Topic])</f>
        <v>TP</v>
      </c>
      <c r="J46" s="289">
        <f>IFERROR(SUMIF(External_Fixed_Prices[ID of service],Mapping_Externals_Fixed_Price[[#This Row],[Service ID]],External_Fixed_Prices[Total emissions (kgCO2e)])*Mapping_Externals_Fixed_Price[[#This Row],[% of the app contributing 
to this NIST Control]],0)</f>
        <v>30727.571050682269</v>
      </c>
      <c r="K46" s="289">
        <f>IFERROR(_xlfn.XLOOKUP(Mapping_Externals_Fixed_Price[[#This Row],[Service ID]],External_Fixed_Prices[ID of service],External_Fixed_Prices[Total emissions (kgCO2e)])*Mapping_Externals_Fixed_Price[[#This Row],[% of the app contributing to this internal referential]],0)</f>
        <v>0</v>
      </c>
    </row>
    <row r="47" spans="1:11">
      <c r="B47" s="263" t="s">
        <v>163</v>
      </c>
      <c r="C47" s="263" t="s">
        <v>336</v>
      </c>
      <c r="D47" s="263"/>
      <c r="E47" s="300"/>
      <c r="F47" s="282">
        <v>1</v>
      </c>
      <c r="G47" s="283"/>
      <c r="H47" s="284"/>
      <c r="I47" s="290" t="str">
        <f>_xlfn.XLOOKUP(Mapping_Externals_Fixed_Price[[#This Row],[NIST Control]],Referential_NIST_Control[NIST Control],Referential_NIST_Control[NIST Topic])</f>
        <v>RISK</v>
      </c>
      <c r="J47" s="289">
        <f>IFERROR(SUMIF(External_Fixed_Prices[ID of service],Mapping_Externals_Fixed_Price[[#This Row],[Service ID]],External_Fixed_Prices[Total emissions (kgCO2e)])*Mapping_Externals_Fixed_Price[[#This Row],[% of the app contributing 
to this NIST Control]],0)</f>
        <v>319.7088317412028</v>
      </c>
      <c r="K47" s="289">
        <f>IFERROR(_xlfn.XLOOKUP(Mapping_Externals_Fixed_Price[[#This Row],[Service ID]],External_Fixed_Prices[ID of service],External_Fixed_Prices[Total emissions (kgCO2e)])*Mapping_Externals_Fixed_Price[[#This Row],[% of the app contributing to this internal referential]],0)</f>
        <v>0</v>
      </c>
    </row>
    <row r="48" spans="1:11">
      <c r="B48" s="263" t="s">
        <v>33</v>
      </c>
      <c r="C48" s="263" t="s">
        <v>337</v>
      </c>
      <c r="D48" s="263"/>
      <c r="E48" s="300"/>
      <c r="F48" s="282">
        <v>1</v>
      </c>
      <c r="G48" s="283"/>
      <c r="H48" s="284"/>
      <c r="I48" s="290" t="str">
        <f>_xlfn.XLOOKUP(Mapping_Externals_Fixed_Price[[#This Row],[NIST Control]],Referential_NIST_Control[NIST Control],Referential_NIST_Control[NIST Topic])</f>
        <v>ASSET</v>
      </c>
      <c r="J48" s="289">
        <f>IFERROR(SUMIF(External_Fixed_Prices[ID of service],Mapping_Externals_Fixed_Price[[#This Row],[Service ID]],External_Fixed_Prices[Total emissions (kgCO2e)])*Mapping_Externals_Fixed_Price[[#This Row],[% of the app contributing 
to this NIST Control]],0)</f>
        <v>35.523203526800309</v>
      </c>
      <c r="K48" s="289">
        <f>IFERROR(_xlfn.XLOOKUP(Mapping_Externals_Fixed_Price[[#This Row],[Service ID]],External_Fixed_Prices[ID of service],External_Fixed_Prices[Total emissions (kgCO2e)])*Mapping_Externals_Fixed_Price[[#This Row],[% of the app contributing to this internal referential]],0)</f>
        <v>0</v>
      </c>
    </row>
    <row r="49" spans="2:11">
      <c r="B49" s="263" t="s">
        <v>33</v>
      </c>
      <c r="C49" s="263" t="s">
        <v>338</v>
      </c>
      <c r="D49" s="263"/>
      <c r="E49" s="300"/>
      <c r="F49" s="282">
        <v>1</v>
      </c>
      <c r="G49" s="283"/>
      <c r="H49" s="284"/>
      <c r="I49" s="290" t="str">
        <f>_xlfn.XLOOKUP(Mapping_Externals_Fixed_Price[[#This Row],[NIST Control]],Referential_NIST_Control[NIST Control],Referential_NIST_Control[NIST Topic])</f>
        <v>ASSET</v>
      </c>
      <c r="J49" s="289">
        <f>IFERROR(SUMIF(External_Fixed_Prices[ID of service],Mapping_Externals_Fixed_Price[[#This Row],[Service ID]],External_Fixed_Prices[Total emissions (kgCO2e)])*Mapping_Externals_Fixed_Price[[#This Row],[% of the app contributing 
to this NIST Control]],0)</f>
        <v>71.046407053600618</v>
      </c>
      <c r="K49" s="289">
        <f>IFERROR(_xlfn.XLOOKUP(Mapping_Externals_Fixed_Price[[#This Row],[Service ID]],External_Fixed_Prices[ID of service],External_Fixed_Prices[Total emissions (kgCO2e)])*Mapping_Externals_Fixed_Price[[#This Row],[% of the app contributing to this internal referential]],0)</f>
        <v>0</v>
      </c>
    </row>
    <row r="50" spans="2:11">
      <c r="B50" s="263" t="s">
        <v>117</v>
      </c>
      <c r="C50" s="263" t="s">
        <v>339</v>
      </c>
      <c r="D50" s="263"/>
      <c r="E50" s="300"/>
      <c r="F50" s="286">
        <v>1</v>
      </c>
      <c r="G50" s="283"/>
      <c r="H50" s="284"/>
      <c r="I50" s="290" t="str">
        <f>_xlfn.XLOOKUP(Mapping_Externals_Fixed_Price[[#This Row],[NIST Control]],Referential_NIST_Control[NIST Control],Referential_NIST_Control[NIST Topic])</f>
        <v>NTW</v>
      </c>
      <c r="J50" s="289">
        <f>IFERROR(SUMIF(External_Fixed_Prices[ID of service],Mapping_Externals_Fixed_Price[[#This Row],[Service ID]],External_Fixed_Prices[Total emissions (kgCO2e)])*Mapping_Externals_Fixed_Price[[#This Row],[% of the app contributing 
to this NIST Control]],0)</f>
        <v>106.56961058040093</v>
      </c>
      <c r="K50" s="289">
        <f>IFERROR(_xlfn.XLOOKUP(Mapping_Externals_Fixed_Price[[#This Row],[Service ID]],External_Fixed_Prices[ID of service],External_Fixed_Prices[Total emissions (kgCO2e)])*Mapping_Externals_Fixed_Price[[#This Row],[% of the app contributing to this internal referential]],0)</f>
        <v>0</v>
      </c>
    </row>
  </sheetData>
  <phoneticPr fontId="13" type="noConversion"/>
  <pageMargins left="0.7" right="0.7" top="0.75" bottom="0.75" header="0.3" footer="0.3"/>
  <tableParts count="3">
    <tablePart r:id="rId1"/>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35C6-A795-4AB3-9874-ED2A545099AF}">
  <sheetPr>
    <tabColor theme="5" tint="0.79998168889431442"/>
  </sheetPr>
  <dimension ref="A2:F36"/>
  <sheetViews>
    <sheetView showGridLines="0" topLeftCell="A10" zoomScale="70" zoomScaleNormal="70" workbookViewId="0">
      <selection activeCell="C6" sqref="C6"/>
    </sheetView>
  </sheetViews>
  <sheetFormatPr defaultColWidth="11.42578125" defaultRowHeight="14.45"/>
  <cols>
    <col min="1" max="1" width="34.140625" customWidth="1"/>
    <col min="2" max="2" width="34.5703125" customWidth="1"/>
    <col min="3" max="3" width="26.85546875" customWidth="1"/>
    <col min="4" max="4" width="18.140625" customWidth="1"/>
    <col min="5" max="5" width="20.42578125" customWidth="1"/>
    <col min="6" max="6" width="20.5703125" customWidth="1"/>
    <col min="7" max="7" width="26" customWidth="1"/>
    <col min="8" max="8" width="16.85546875" customWidth="1"/>
  </cols>
  <sheetData>
    <row r="2" spans="1:3" ht="15.6">
      <c r="A2" s="196" t="s">
        <v>216</v>
      </c>
    </row>
    <row r="3" spans="1:3" ht="15.6">
      <c r="B3" s="160" t="s">
        <v>217</v>
      </c>
    </row>
    <row r="4" spans="1:3" ht="29.1">
      <c r="B4" s="227" t="s">
        <v>228</v>
      </c>
    </row>
    <row r="5" spans="1:3" ht="29.1">
      <c r="B5" s="224" t="s">
        <v>219</v>
      </c>
    </row>
    <row r="6" spans="1:3" ht="29.1">
      <c r="B6" s="228" t="s">
        <v>220</v>
      </c>
    </row>
    <row r="7" spans="1:3" ht="29.1">
      <c r="B7" s="229" t="s">
        <v>229</v>
      </c>
    </row>
    <row r="8" spans="1:3">
      <c r="B8" s="164" t="s">
        <v>221</v>
      </c>
    </row>
    <row r="10" spans="1:3" ht="15.6">
      <c r="A10" s="196" t="s">
        <v>222</v>
      </c>
    </row>
    <row r="11" spans="1:3">
      <c r="B11" s="152" t="s">
        <v>414</v>
      </c>
      <c r="C11" s="156">
        <f>SUM(Mapping_Travel_Results_by_TOPIC[Total Travel (kgCO2e)])/1000</f>
        <v>385.24667001999995</v>
      </c>
    </row>
    <row r="12" spans="1:3">
      <c r="B12" s="154" t="str">
        <f>"Scope 2 "&amp;B11</f>
        <v>Scope 2 Travel emissions (tCO2e)</v>
      </c>
      <c r="C12" s="156">
        <v>0</v>
      </c>
    </row>
    <row r="13" spans="1:3">
      <c r="B13" s="154" t="str">
        <f>"Scope 3 "&amp;B11</f>
        <v>Scope 3 Travel emissions (tCO2e)</v>
      </c>
      <c r="C13" s="156">
        <f>SUM(Mapping_Travel[Total emissions (kgC02e)])/1000</f>
        <v>385.24667001999995</v>
      </c>
    </row>
    <row r="15" spans="1:3">
      <c r="B15" s="113" t="s">
        <v>13</v>
      </c>
      <c r="C15" s="113" t="s">
        <v>415</v>
      </c>
    </row>
    <row r="16" spans="1:3">
      <c r="B16" s="111" t="s">
        <v>14</v>
      </c>
      <c r="C16" s="280">
        <f>SUMIF(Mapping_Travel[NIST Topic],Mapping_Travel_Results_by_TOPIC[[#This Row],[Topics]],Mapping_Travel[Total emissions (kgC02e)])</f>
        <v>0</v>
      </c>
    </row>
    <row r="17" spans="1:3">
      <c r="B17" s="111" t="s">
        <v>15</v>
      </c>
      <c r="C17" s="280">
        <f>SUMIF(Mapping_Travel[NIST Topic],Mapping_Travel_Results_by_TOPIC[[#This Row],[Topics]],Mapping_Travel[Total emissions (kgC02e)])</f>
        <v>0</v>
      </c>
    </row>
    <row r="18" spans="1:3">
      <c r="B18" s="111" t="s">
        <v>16</v>
      </c>
      <c r="C18" s="280">
        <f>SUMIF(Mapping_Travel[NIST Topic],Mapping_Travel_Results_by_TOPIC[[#This Row],[Topics]],Mapping_Travel[Total emissions (kgC02e)])</f>
        <v>0</v>
      </c>
    </row>
    <row r="19" spans="1:3">
      <c r="B19" s="111" t="s">
        <v>17</v>
      </c>
      <c r="C19" s="280">
        <f>SUMIF(Mapping_Travel[NIST Topic],Mapping_Travel_Results_by_TOPIC[[#This Row],[Topics]],Mapping_Travel[Total emissions (kgC02e)])</f>
        <v>0</v>
      </c>
    </row>
    <row r="20" spans="1:3">
      <c r="B20" s="111" t="s">
        <v>18</v>
      </c>
      <c r="C20" s="280">
        <f>SUMIF(Mapping_Travel[NIST Topic],Mapping_Travel_Results_by_TOPIC[[#This Row],[Topics]],Mapping_Travel[Total emissions (kgC02e)])</f>
        <v>0</v>
      </c>
    </row>
    <row r="21" spans="1:3">
      <c r="B21" s="111" t="s">
        <v>19</v>
      </c>
      <c r="C21" s="280">
        <f>SUMIF(Mapping_Travel[NIST Topic],Mapping_Travel_Results_by_TOPIC[[#This Row],[Topics]],Mapping_Travel[Total emissions (kgC02e)])</f>
        <v>0</v>
      </c>
    </row>
    <row r="22" spans="1:3">
      <c r="B22" s="111" t="s">
        <v>20</v>
      </c>
      <c r="C22" s="280">
        <f>SUMIF(Mapping_Travel[NIST Topic],Mapping_Travel_Results_by_TOPIC[[#This Row],[Topics]],Mapping_Travel[Total emissions (kgC02e)])</f>
        <v>385246.67001999996</v>
      </c>
    </row>
    <row r="23" spans="1:3">
      <c r="B23" s="111" t="s">
        <v>21</v>
      </c>
      <c r="C23" s="280">
        <f>SUMIF(Mapping_Travel[NIST Topic],Mapping_Travel_Results_by_TOPIC[[#This Row],[Topics]],Mapping_Travel[Total emissions (kgC02e)])</f>
        <v>0</v>
      </c>
    </row>
    <row r="24" spans="1:3">
      <c r="B24" s="111" t="s">
        <v>22</v>
      </c>
      <c r="C24" s="280">
        <f>SUMIF(Mapping_Travel[NIST Topic],Mapping_Travel_Results_by_TOPIC[[#This Row],[Topics]],Mapping_Travel[Total emissions (kgC02e)])</f>
        <v>0</v>
      </c>
    </row>
    <row r="25" spans="1:3">
      <c r="B25" s="111" t="s">
        <v>23</v>
      </c>
      <c r="C25" s="280">
        <f>SUMIF(Mapping_Travel[NIST Topic],Mapping_Travel_Results_by_TOPIC[[#This Row],[Topics]],Mapping_Travel[Total emissions (kgC02e)])</f>
        <v>0</v>
      </c>
    </row>
    <row r="26" spans="1:3">
      <c r="B26" s="111" t="s">
        <v>24</v>
      </c>
      <c r="C26" s="280">
        <f>SUMIF(Mapping_Travel[NIST Topic],Mapping_Travel_Results_by_TOPIC[[#This Row],[Topics]],Mapping_Travel[Total emissions (kgC02e)])</f>
        <v>0</v>
      </c>
    </row>
    <row r="27" spans="1:3">
      <c r="B27" s="111" t="s">
        <v>25</v>
      </c>
      <c r="C27" s="280">
        <f>SUMIF(Mapping_Travel[NIST Topic],Mapping_Travel_Results_by_TOPIC[[#This Row],[Topics]],Mapping_Travel[Total emissions (kgC02e)])</f>
        <v>0</v>
      </c>
    </row>
    <row r="28" spans="1:3">
      <c r="B28" s="111" t="s">
        <v>26</v>
      </c>
      <c r="C28" s="280">
        <f>SUMIF(Mapping_Travel[NIST Topic],Mapping_Travel_Results_by_TOPIC[[#This Row],[Topics]],Mapping_Travel[Total emissions (kgC02e)])</f>
        <v>0</v>
      </c>
    </row>
    <row r="29" spans="1:3">
      <c r="B29" s="111" t="s">
        <v>27</v>
      </c>
      <c r="C29" s="280">
        <f>SUMIF(Mapping_Travel[NIST Topic],Mapping_Travel_Results_by_TOPIC[[#This Row],[Topics]],Mapping_Travel[Total emissions (kgC02e)])</f>
        <v>0</v>
      </c>
    </row>
    <row r="30" spans="1:3">
      <c r="B30" s="131" t="s">
        <v>367</v>
      </c>
      <c r="C30" s="291">
        <f>SUBTOTAL(109,Mapping_Travel_Results_by_TOPIC[Total Travel (kgCO2e)])</f>
        <v>385246.67001999996</v>
      </c>
    </row>
    <row r="31" spans="1:3">
      <c r="C31" s="292"/>
    </row>
    <row r="32" spans="1:3" ht="30.95">
      <c r="A32" s="100" t="s">
        <v>416</v>
      </c>
    </row>
    <row r="33" spans="2:6" ht="29.1">
      <c r="B33" s="64" t="s">
        <v>341</v>
      </c>
      <c r="C33" s="96" t="s">
        <v>368</v>
      </c>
      <c r="D33" s="96" t="s">
        <v>28</v>
      </c>
      <c r="E33" s="96" t="s">
        <v>29</v>
      </c>
      <c r="F33" s="106" t="s">
        <v>254</v>
      </c>
    </row>
    <row r="34" spans="2:6">
      <c r="B34" s="169" t="s">
        <v>344</v>
      </c>
      <c r="C34" s="293"/>
      <c r="D34" s="294" t="s">
        <v>97</v>
      </c>
      <c r="E34" s="295" t="str">
        <f>_xlfn.XLOOKUP(Mapping_Travel[[#This Row],[NIST Control]],Referential_NIST_Control[NIST Control],Referential_NIST_Control[NIST Topic])</f>
        <v>GOV</v>
      </c>
      <c r="F34" s="296">
        <f>SUMIF(Travel[Type of transportation],Mapping_Travel[[#This Row],[Type of transportation]],Travel[Total emissions (kgC02e)])</f>
        <v>385135.28899999999</v>
      </c>
    </row>
    <row r="35" spans="2:6">
      <c r="B35" s="120" t="s">
        <v>346</v>
      </c>
      <c r="C35" s="293"/>
      <c r="D35" s="294" t="s">
        <v>97</v>
      </c>
      <c r="E35" s="295" t="str">
        <f>_xlfn.XLOOKUP(Mapping_Travel[[#This Row],[NIST Control]],Referential_NIST_Control[NIST Control],Referential_NIST_Control[NIST Topic])</f>
        <v>GOV</v>
      </c>
      <c r="F35" s="296">
        <f>SUMIF(Travel[Type of transportation],Mapping_Travel[[#This Row],[Type of transportation]],Travel[Total emissions (kgC02e)])</f>
        <v>0</v>
      </c>
    </row>
    <row r="36" spans="2:6">
      <c r="B36" s="120" t="s">
        <v>348</v>
      </c>
      <c r="C36" s="293"/>
      <c r="D36" s="294" t="s">
        <v>97</v>
      </c>
      <c r="E36" s="295" t="str">
        <f>_xlfn.XLOOKUP(Mapping_Travel[[#This Row],[NIST Control]],Referential_NIST_Control[NIST Control],Referential_NIST_Control[NIST Topic])</f>
        <v>GOV</v>
      </c>
      <c r="F36" s="296">
        <f>SUMIF(Travel[Type of transportation],Mapping_Travel[[#This Row],[Type of transportation]],Travel[Total emissions (kgC02e)])</f>
        <v>111.38101999999999</v>
      </c>
    </row>
  </sheetData>
  <pageMargins left="0.7" right="0.7" top="0.75" bottom="0.75" header="0.3" footer="0.3"/>
  <tableParts count="2">
    <tablePart r:id="rId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36F4-49CD-4195-8FE2-3356C57685C9}">
  <sheetPr>
    <tabColor theme="5" tint="0.79998168889431442"/>
  </sheetPr>
  <dimension ref="A2:K62"/>
  <sheetViews>
    <sheetView showGridLines="0" topLeftCell="A19" zoomScale="40" zoomScaleNormal="40" workbookViewId="0">
      <selection activeCell="C6" sqref="C6"/>
    </sheetView>
  </sheetViews>
  <sheetFormatPr defaultColWidth="8.85546875" defaultRowHeight="14.45" outlineLevelRow="1"/>
  <cols>
    <col min="1" max="1" width="46.42578125" style="26" customWidth="1"/>
    <col min="2" max="2" width="94.140625" style="26" customWidth="1"/>
    <col min="3" max="3" width="29.5703125" style="26" customWidth="1"/>
    <col min="4" max="4" width="27.140625" style="26" customWidth="1"/>
    <col min="5" max="5" width="41" style="26" customWidth="1"/>
    <col min="6" max="6" width="22.42578125" style="26" customWidth="1"/>
    <col min="7" max="7" width="26.42578125" style="26" customWidth="1"/>
    <col min="8" max="8" width="26" style="26" customWidth="1"/>
    <col min="9" max="9" width="26.5703125" style="26" customWidth="1"/>
    <col min="10" max="16384" width="8.85546875" style="26"/>
  </cols>
  <sheetData>
    <row r="2" spans="1:7" ht="15.6">
      <c r="A2" s="196" t="s">
        <v>216</v>
      </c>
      <c r="B2"/>
    </row>
    <row r="3" spans="1:7" ht="15.6">
      <c r="A3"/>
      <c r="B3" s="160" t="s">
        <v>217</v>
      </c>
    </row>
    <row r="4" spans="1:7" ht="29.1">
      <c r="A4"/>
      <c r="B4" s="227" t="s">
        <v>228</v>
      </c>
    </row>
    <row r="5" spans="1:7" ht="29.1">
      <c r="A5"/>
      <c r="B5" s="224" t="s">
        <v>219</v>
      </c>
    </row>
    <row r="6" spans="1:7" ht="29.1">
      <c r="A6"/>
      <c r="B6" s="228" t="s">
        <v>220</v>
      </c>
    </row>
    <row r="7" spans="1:7" ht="29.1">
      <c r="A7"/>
      <c r="B7" s="229" t="s">
        <v>229</v>
      </c>
    </row>
    <row r="8" spans="1:7">
      <c r="B8" s="166" t="s">
        <v>221</v>
      </c>
    </row>
    <row r="10" spans="1:7" ht="15.6">
      <c r="A10" s="196" t="s">
        <v>222</v>
      </c>
    </row>
    <row r="11" spans="1:7">
      <c r="B11" s="152" t="s">
        <v>417</v>
      </c>
      <c r="C11" s="153">
        <f>SUM(Mapping_Non_Cyber_Results_by_TOPIC[Total Log and Antivirus for non cybe equipments emissions (kgCO2e)])/1000</f>
        <v>33.076888075333336</v>
      </c>
    </row>
    <row r="12" spans="1:7">
      <c r="B12" s="154" t="str">
        <f>"Scope 2 "&amp;B11</f>
        <v>Scope 2 Non cyber equipments emissions (tCO2e)</v>
      </c>
      <c r="C12" s="153">
        <f>SUM(Mapping_Non_Cyber_Workstation_Laptop[Scope 2 (kgC02e)],Mapping_Non_Cyber_Workstation_Desktop[Scope 2 (kgC02e)],Mapping_Non_Cyber_VDI[Scope 2 (kgC02e)],Mapping_Non_Cyber_Servers[Scope 2 (kgC02e)])/1000</f>
        <v>16.915796818000004</v>
      </c>
    </row>
    <row r="13" spans="1:7">
      <c r="B13" s="154" t="str">
        <f>"Scope 3 "&amp;B11</f>
        <v>Scope 3 Non cyber equipments emissions (tCO2e)</v>
      </c>
      <c r="C13" s="153">
        <f>SUM(Mapping_Non_Cyber_Workstation_Laptop[Scope 3 (kgC02e)],Mapping_Non_Cyber_Workstation_Desktop[Scope 3 (kgC02e)],Mapping_Non_Cyber_Servers[Scope 3 (kgC02e)],Mapping_Non_Cyber_VDI[Scope 3 (kgC02e)])/1000</f>
        <v>16.161091257333332</v>
      </c>
    </row>
    <row r="15" spans="1:7" ht="43.5" outlineLevel="1">
      <c r="B15" s="96" t="s">
        <v>28</v>
      </c>
      <c r="C15" s="96" t="s">
        <v>418</v>
      </c>
      <c r="D15" s="96" t="s">
        <v>365</v>
      </c>
      <c r="E15" s="96" t="s">
        <v>366</v>
      </c>
      <c r="F15" s="96" t="s">
        <v>419</v>
      </c>
      <c r="G15" s="96" t="s">
        <v>420</v>
      </c>
    </row>
    <row r="16" spans="1:7" outlineLevel="1">
      <c r="B16" t="s">
        <v>14</v>
      </c>
      <c r="C16" s="123">
        <f>SUM(Mapping_Non_Cyber_Results_by_TOPIC[[#This Row],[Workstation_Laptop]:[Non Cyber Servers]])</f>
        <v>0</v>
      </c>
      <c r="D16" s="123">
        <f>SUMIF(Mapping_Non_Cyber_Workstation_Laptop[NIST Topic],Mapping_Non_Cyber_Results_by_TOPIC[[#This Row],[NIST Control]],Mapping_Non_Cyber_Workstation_Laptop[Total emissions (kgC02e)])</f>
        <v>0</v>
      </c>
      <c r="E16" s="123">
        <f>SUMIF(Mapping_Non_Cyber_Workstation_Desktop[NIST Topic],Mapping_Non_Cyber_Results_by_TOPIC[[#This Row],[NIST Control]],Mapping_Non_Cyber_Workstation_Desktop[Total emissions (kgC02e)])</f>
        <v>0</v>
      </c>
      <c r="F16" s="123">
        <f>SUMIF(Mapping_Non_Cyber_VDI[NIST Topic],Mapping_Non_Cyber_Results_by_TOPIC[[#This Row],[NIST Control]],Mapping_Non_Cyber_VDI[Total emissions (kgC02e)])</f>
        <v>0</v>
      </c>
      <c r="G16" s="123">
        <f>SUMIF(Mapping_Non_Cyber_Servers[NIST Topic],Mapping_Non_Cyber_Results_by_TOPIC[[#This Row],[NIST Control]],Mapping_Non_Cyber_Servers[Total emissions (kgC02e)])</f>
        <v>0</v>
      </c>
    </row>
    <row r="17" spans="1:7" outlineLevel="1">
      <c r="B17" t="s">
        <v>15</v>
      </c>
      <c r="C17" s="123">
        <f>SUM(Mapping_Non_Cyber_Results_by_TOPIC[[#This Row],[Workstation_Laptop]:[Non Cyber Servers]])</f>
        <v>0</v>
      </c>
      <c r="D17" s="123">
        <f>SUMIF(Mapping_Non_Cyber_Workstation_Laptop[NIST Topic],Mapping_Non_Cyber_Results_by_TOPIC[[#This Row],[NIST Control]],Mapping_Non_Cyber_Workstation_Laptop[Total emissions (kgC02e)])</f>
        <v>0</v>
      </c>
      <c r="E17" s="123">
        <f>SUMIF(Mapping_Non_Cyber_Workstation_Desktop[NIST Topic],Mapping_Non_Cyber_Results_by_TOPIC[[#This Row],[NIST Control]],Mapping_Non_Cyber_Workstation_Desktop[Total emissions (kgC02e)])</f>
        <v>0</v>
      </c>
      <c r="F17" s="123">
        <f>SUMIF(Mapping_Non_Cyber_VDI[NIST Topic],Mapping_Non_Cyber_Results_by_TOPIC[[#This Row],[NIST Control]],Mapping_Non_Cyber_VDI[Total emissions (kgC02e)])</f>
        <v>0</v>
      </c>
      <c r="G17" s="123">
        <f>SUMIF(Mapping_Non_Cyber_Servers[NIST Topic],Mapping_Non_Cyber_Results_by_TOPIC[[#This Row],[NIST Control]],Mapping_Non_Cyber_Servers[Total emissions (kgC02e)])</f>
        <v>0</v>
      </c>
    </row>
    <row r="18" spans="1:7" outlineLevel="1">
      <c r="B18" t="s">
        <v>16</v>
      </c>
      <c r="C18" s="123">
        <f>SUM(Mapping_Non_Cyber_Results_by_TOPIC[[#This Row],[Workstation_Laptop]:[Non Cyber Servers]])</f>
        <v>0</v>
      </c>
      <c r="D18" s="123">
        <f>SUMIF(Mapping_Non_Cyber_Workstation_Laptop[NIST Topic],Mapping_Non_Cyber_Results_by_TOPIC[[#This Row],[NIST Control]],Mapping_Non_Cyber_Workstation_Laptop[Total emissions (kgC02e)])</f>
        <v>0</v>
      </c>
      <c r="E18" s="123">
        <f>SUMIF(Mapping_Non_Cyber_Workstation_Desktop[NIST Topic],Mapping_Non_Cyber_Results_by_TOPIC[[#This Row],[NIST Control]],Mapping_Non_Cyber_Workstation_Desktop[Total emissions (kgC02e)])</f>
        <v>0</v>
      </c>
      <c r="F18" s="123">
        <f>SUMIF(Mapping_Non_Cyber_VDI[NIST Topic],Mapping_Non_Cyber_Results_by_TOPIC[[#This Row],[NIST Control]],Mapping_Non_Cyber_VDI[Total emissions (kgC02e)])</f>
        <v>0</v>
      </c>
      <c r="G18" s="123">
        <f>SUMIF(Mapping_Non_Cyber_Servers[NIST Topic],Mapping_Non_Cyber_Results_by_TOPIC[[#This Row],[NIST Control]],Mapping_Non_Cyber_Servers[Total emissions (kgC02e)])</f>
        <v>0</v>
      </c>
    </row>
    <row r="19" spans="1:7" outlineLevel="1">
      <c r="B19" t="s">
        <v>17</v>
      </c>
      <c r="C19" s="123">
        <f>SUM(Mapping_Non_Cyber_Results_by_TOPIC[[#This Row],[Workstation_Laptop]:[Non Cyber Servers]])</f>
        <v>0</v>
      </c>
      <c r="D19" s="123">
        <f>SUMIF(Mapping_Non_Cyber_Workstation_Laptop[NIST Topic],Mapping_Non_Cyber_Results_by_TOPIC[[#This Row],[NIST Control]],Mapping_Non_Cyber_Workstation_Laptop[Total emissions (kgC02e)])</f>
        <v>0</v>
      </c>
      <c r="E19" s="123">
        <f>SUMIF(Mapping_Non_Cyber_Workstation_Desktop[NIST Topic],Mapping_Non_Cyber_Results_by_TOPIC[[#This Row],[NIST Control]],Mapping_Non_Cyber_Workstation_Desktop[Total emissions (kgC02e)])</f>
        <v>0</v>
      </c>
      <c r="F19" s="123">
        <f>SUMIF(Mapping_Non_Cyber_VDI[NIST Topic],Mapping_Non_Cyber_Results_by_TOPIC[[#This Row],[NIST Control]],Mapping_Non_Cyber_VDI[Total emissions (kgC02e)])</f>
        <v>0</v>
      </c>
      <c r="G19" s="123">
        <f>SUMIF(Mapping_Non_Cyber_Servers[NIST Topic],Mapping_Non_Cyber_Results_by_TOPIC[[#This Row],[NIST Control]],Mapping_Non_Cyber_Servers[Total emissions (kgC02e)])</f>
        <v>0</v>
      </c>
    </row>
    <row r="20" spans="1:7" outlineLevel="1">
      <c r="B20" t="s">
        <v>18</v>
      </c>
      <c r="C20" s="123">
        <f>SUM(Mapping_Non_Cyber_Results_by_TOPIC[[#This Row],[Workstation_Laptop]:[Non Cyber Servers]])</f>
        <v>8116.639039083333</v>
      </c>
      <c r="D20" s="123">
        <f>SUMIF(Mapping_Non_Cyber_Workstation_Laptop[NIST Topic],Mapping_Non_Cyber_Results_by_TOPIC[[#This Row],[NIST Control]],Mapping_Non_Cyber_Workstation_Laptop[Total emissions (kgC02e)])</f>
        <v>2223.8948816000002</v>
      </c>
      <c r="E20" s="123">
        <f>SUMIF(Mapping_Non_Cyber_Workstation_Desktop[NIST Topic],Mapping_Non_Cyber_Results_by_TOPIC[[#This Row],[NIST Control]],Mapping_Non_Cyber_Workstation_Desktop[Total emissions (kgC02e)])</f>
        <v>5219.101232</v>
      </c>
      <c r="F20" s="123">
        <f>SUMIF(Mapping_Non_Cyber_VDI[NIST Topic],Mapping_Non_Cyber_Results_by_TOPIC[[#This Row],[NIST Control]],Mapping_Non_Cyber_VDI[Total emissions (kgC02e)])</f>
        <v>0</v>
      </c>
      <c r="G20" s="123">
        <f>SUMIF(Mapping_Non_Cyber_Servers[NIST Topic],Mapping_Non_Cyber_Results_by_TOPIC[[#This Row],[NIST Control]],Mapping_Non_Cyber_Servers[Total emissions (kgC02e)])</f>
        <v>673.64292548333333</v>
      </c>
    </row>
    <row r="21" spans="1:7" outlineLevel="1">
      <c r="B21" t="s">
        <v>19</v>
      </c>
      <c r="C21" s="123">
        <f>SUM(Mapping_Non_Cyber_Results_by_TOPIC[[#This Row],[Workstation_Laptop]:[Non Cyber Servers]])</f>
        <v>610.33191900000008</v>
      </c>
      <c r="D21" s="123">
        <f>SUMIF(Mapping_Non_Cyber_Workstation_Laptop[NIST Topic],Mapping_Non_Cyber_Results_by_TOPIC[[#This Row],[NIST Control]],Mapping_Non_Cyber_Workstation_Laptop[Total emissions (kgC02e)])</f>
        <v>47.928769000000003</v>
      </c>
      <c r="E21" s="123">
        <f>SUMIF(Mapping_Non_Cyber_Workstation_Desktop[NIST Topic],Mapping_Non_Cyber_Results_by_TOPIC[[#This Row],[NIST Control]],Mapping_Non_Cyber_Workstation_Desktop[Total emissions (kgC02e)])</f>
        <v>562.4031500000001</v>
      </c>
      <c r="F21" s="123">
        <f>SUMIF(Mapping_Non_Cyber_VDI[NIST Topic],Mapping_Non_Cyber_Results_by_TOPIC[[#This Row],[NIST Control]],Mapping_Non_Cyber_VDI[Total emissions (kgC02e)])</f>
        <v>0</v>
      </c>
      <c r="G21" s="123">
        <f>SUMIF(Mapping_Non_Cyber_Servers[NIST Topic],Mapping_Non_Cyber_Results_by_TOPIC[[#This Row],[NIST Control]],Mapping_Non_Cyber_Servers[Total emissions (kgC02e)])</f>
        <v>0</v>
      </c>
    </row>
    <row r="22" spans="1:7" outlineLevel="1">
      <c r="B22" t="s">
        <v>20</v>
      </c>
      <c r="C22" s="123">
        <f>SUM(Mapping_Non_Cyber_Results_by_TOPIC[[#This Row],[Workstation_Laptop]:[Non Cyber Servers]])</f>
        <v>0</v>
      </c>
      <c r="D22" s="123">
        <f>SUMIF(Mapping_Non_Cyber_Workstation_Laptop[NIST Topic],Mapping_Non_Cyber_Results_by_TOPIC[[#This Row],[NIST Control]],Mapping_Non_Cyber_Workstation_Laptop[Total emissions (kgC02e)])</f>
        <v>0</v>
      </c>
      <c r="E22" s="123">
        <f>SUMIF(Mapping_Non_Cyber_Workstation_Desktop[NIST Topic],Mapping_Non_Cyber_Results_by_TOPIC[[#This Row],[NIST Control]],Mapping_Non_Cyber_Workstation_Desktop[Total emissions (kgC02e)])</f>
        <v>0</v>
      </c>
      <c r="F22" s="123">
        <f>SUMIF(Mapping_Non_Cyber_VDI[NIST Topic],Mapping_Non_Cyber_Results_by_TOPIC[[#This Row],[NIST Control]],Mapping_Non_Cyber_VDI[Total emissions (kgC02e)])</f>
        <v>0</v>
      </c>
      <c r="G22" s="123">
        <f>SUMIF(Mapping_Non_Cyber_Servers[NIST Topic],Mapping_Non_Cyber_Results_by_TOPIC[[#This Row],[NIST Control]],Mapping_Non_Cyber_Servers[Total emissions (kgC02e)])</f>
        <v>0</v>
      </c>
    </row>
    <row r="23" spans="1:7" outlineLevel="1">
      <c r="B23" t="s">
        <v>21</v>
      </c>
      <c r="C23" s="123">
        <f>SUM(Mapping_Non_Cyber_Results_by_TOPIC[[#This Row],[Workstation_Laptop]:[Non Cyber Servers]])</f>
        <v>0</v>
      </c>
      <c r="D23" s="123">
        <f>SUMIF(Mapping_Non_Cyber_Workstation_Laptop[NIST Topic],Mapping_Non_Cyber_Results_by_TOPIC[[#This Row],[NIST Control]],Mapping_Non_Cyber_Workstation_Laptop[Total emissions (kgC02e)])</f>
        <v>0</v>
      </c>
      <c r="E23" s="123">
        <f>SUMIF(Mapping_Non_Cyber_Workstation_Desktop[NIST Topic],Mapping_Non_Cyber_Results_by_TOPIC[[#This Row],[NIST Control]],Mapping_Non_Cyber_Workstation_Desktop[Total emissions (kgC02e)])</f>
        <v>0</v>
      </c>
      <c r="F23" s="123">
        <f>SUMIF(Mapping_Non_Cyber_VDI[NIST Topic],Mapping_Non_Cyber_Results_by_TOPIC[[#This Row],[NIST Control]],Mapping_Non_Cyber_VDI[Total emissions (kgC02e)])</f>
        <v>0</v>
      </c>
      <c r="G23" s="123">
        <f>SUMIF(Mapping_Non_Cyber_Servers[NIST Topic],Mapping_Non_Cyber_Results_by_TOPIC[[#This Row],[NIST Control]],Mapping_Non_Cyber_Servers[Total emissions (kgC02e)])</f>
        <v>0</v>
      </c>
    </row>
    <row r="24" spans="1:7" outlineLevel="1">
      <c r="B24" t="s">
        <v>22</v>
      </c>
      <c r="C24" s="123">
        <f>SUM(Mapping_Non_Cyber_Results_by_TOPIC[[#This Row],[Workstation_Laptop]:[Non Cyber Servers]])</f>
        <v>0</v>
      </c>
      <c r="D24" s="123">
        <f>SUMIF(Mapping_Non_Cyber_Workstation_Laptop[NIST Topic],Mapping_Non_Cyber_Results_by_TOPIC[[#This Row],[NIST Control]],Mapping_Non_Cyber_Workstation_Laptop[Total emissions (kgC02e)])</f>
        <v>0</v>
      </c>
      <c r="E24" s="123">
        <f>SUMIF(Mapping_Non_Cyber_Workstation_Desktop[NIST Topic],Mapping_Non_Cyber_Results_by_TOPIC[[#This Row],[NIST Control]],Mapping_Non_Cyber_Workstation_Desktop[Total emissions (kgC02e)])</f>
        <v>0</v>
      </c>
      <c r="F24" s="123">
        <f>SUMIF(Mapping_Non_Cyber_VDI[NIST Topic],Mapping_Non_Cyber_Results_by_TOPIC[[#This Row],[NIST Control]],Mapping_Non_Cyber_VDI[Total emissions (kgC02e)])</f>
        <v>0</v>
      </c>
      <c r="G24" s="123">
        <f>SUMIF(Mapping_Non_Cyber_Servers[NIST Topic],Mapping_Non_Cyber_Results_by_TOPIC[[#This Row],[NIST Control]],Mapping_Non_Cyber_Servers[Total emissions (kgC02e)])</f>
        <v>0</v>
      </c>
    </row>
    <row r="25" spans="1:7" outlineLevel="1">
      <c r="B25" t="s">
        <v>23</v>
      </c>
      <c r="C25" s="123">
        <f>SUM(Mapping_Non_Cyber_Results_by_TOPIC[[#This Row],[Workstation_Laptop]:[Non Cyber Servers]])</f>
        <v>0</v>
      </c>
      <c r="D25" s="123">
        <f>SUMIF(Mapping_Non_Cyber_Workstation_Laptop[NIST Topic],Mapping_Non_Cyber_Results_by_TOPIC[[#This Row],[NIST Control]],Mapping_Non_Cyber_Workstation_Laptop[Total emissions (kgC02e)])</f>
        <v>0</v>
      </c>
      <c r="E25" s="123">
        <f>SUMIF(Mapping_Non_Cyber_Workstation_Desktop[NIST Topic],Mapping_Non_Cyber_Results_by_TOPIC[[#This Row],[NIST Control]],Mapping_Non_Cyber_Workstation_Desktop[Total emissions (kgC02e)])</f>
        <v>0</v>
      </c>
      <c r="F25" s="123">
        <f>SUMIF(Mapping_Non_Cyber_VDI[NIST Topic],Mapping_Non_Cyber_Results_by_TOPIC[[#This Row],[NIST Control]],Mapping_Non_Cyber_VDI[Total emissions (kgC02e)])</f>
        <v>0</v>
      </c>
      <c r="G25" s="123">
        <f>SUMIF(Mapping_Non_Cyber_Servers[NIST Topic],Mapping_Non_Cyber_Results_by_TOPIC[[#This Row],[NIST Control]],Mapping_Non_Cyber_Servers[Total emissions (kgC02e)])</f>
        <v>0</v>
      </c>
    </row>
    <row r="26" spans="1:7" outlineLevel="1">
      <c r="B26" t="s">
        <v>24</v>
      </c>
      <c r="C26" s="123">
        <f>SUM(Mapping_Non_Cyber_Results_by_TOPIC[[#This Row],[Workstation_Laptop]:[Non Cyber Servers]])</f>
        <v>24349.917117249999</v>
      </c>
      <c r="D26" s="123">
        <f>SUMIF(Mapping_Non_Cyber_Workstation_Laptop[NIST Topic],Mapping_Non_Cyber_Results_by_TOPIC[[#This Row],[NIST Control]],Mapping_Non_Cyber_Workstation_Laptop[Total emissions (kgC02e)])</f>
        <v>6671.6846448000006</v>
      </c>
      <c r="E26" s="123">
        <f>SUMIF(Mapping_Non_Cyber_Workstation_Desktop[NIST Topic],Mapping_Non_Cyber_Results_by_TOPIC[[#This Row],[NIST Control]],Mapping_Non_Cyber_Workstation_Desktop[Total emissions (kgC02e)])</f>
        <v>15657.303695999999</v>
      </c>
      <c r="F26" s="123">
        <f>SUMIF(Mapping_Non_Cyber_VDI[NIST Topic],Mapping_Non_Cyber_Results_by_TOPIC[[#This Row],[NIST Control]],Mapping_Non_Cyber_VDI[Total emissions (kgC02e)])</f>
        <v>0</v>
      </c>
      <c r="G26" s="123">
        <f>SUMIF(Mapping_Non_Cyber_Servers[NIST Topic],Mapping_Non_Cyber_Results_by_TOPIC[[#This Row],[NIST Control]],Mapping_Non_Cyber_Servers[Total emissions (kgC02e)])</f>
        <v>2020.92877645</v>
      </c>
    </row>
    <row r="27" spans="1:7" outlineLevel="1">
      <c r="B27" t="s">
        <v>25</v>
      </c>
      <c r="C27" s="123">
        <f>SUM(Mapping_Non_Cyber_Results_by_TOPIC[[#This Row],[Workstation_Laptop]:[Non Cyber Servers]])</f>
        <v>0</v>
      </c>
      <c r="D27" s="123">
        <f>SUMIF(Mapping_Non_Cyber_Workstation_Laptop[NIST Topic],Mapping_Non_Cyber_Results_by_TOPIC[[#This Row],[NIST Control]],Mapping_Non_Cyber_Workstation_Laptop[Total emissions (kgC02e)])</f>
        <v>0</v>
      </c>
      <c r="E27" s="123">
        <f>SUMIF(Mapping_Non_Cyber_Workstation_Desktop[NIST Topic],Mapping_Non_Cyber_Results_by_TOPIC[[#This Row],[NIST Control]],Mapping_Non_Cyber_Workstation_Desktop[Total emissions (kgC02e)])</f>
        <v>0</v>
      </c>
      <c r="F27" s="123">
        <f>SUMIF(Mapping_Non_Cyber_VDI[NIST Topic],Mapping_Non_Cyber_Results_by_TOPIC[[#This Row],[NIST Control]],Mapping_Non_Cyber_VDI[Total emissions (kgC02e)])</f>
        <v>0</v>
      </c>
      <c r="G27" s="123">
        <f>SUMIF(Mapping_Non_Cyber_Servers[NIST Topic],Mapping_Non_Cyber_Results_by_TOPIC[[#This Row],[NIST Control]],Mapping_Non_Cyber_Servers[Total emissions (kgC02e)])</f>
        <v>0</v>
      </c>
    </row>
    <row r="28" spans="1:7" outlineLevel="1">
      <c r="B28" t="s">
        <v>26</v>
      </c>
      <c r="C28" s="123">
        <f>SUM(Mapping_Non_Cyber_Results_by_TOPIC[[#This Row],[Workstation_Laptop]:[Non Cyber Servers]])</f>
        <v>0</v>
      </c>
      <c r="D28" s="123">
        <f>SUMIF(Mapping_Non_Cyber_Workstation_Laptop[NIST Topic],Mapping_Non_Cyber_Results_by_TOPIC[[#This Row],[NIST Control]],Mapping_Non_Cyber_Workstation_Laptop[Total emissions (kgC02e)])</f>
        <v>0</v>
      </c>
      <c r="E28" s="123">
        <f>SUMIF(Mapping_Non_Cyber_Workstation_Desktop[NIST Topic],Mapping_Non_Cyber_Results_by_TOPIC[[#This Row],[NIST Control]],Mapping_Non_Cyber_Workstation_Desktop[Total emissions (kgC02e)])</f>
        <v>0</v>
      </c>
      <c r="F28" s="123">
        <f>SUMIF(Mapping_Non_Cyber_VDI[NIST Topic],Mapping_Non_Cyber_Results_by_TOPIC[[#This Row],[NIST Control]],Mapping_Non_Cyber_VDI[Total emissions (kgC02e)])</f>
        <v>0</v>
      </c>
      <c r="G28" s="123">
        <f>SUMIF(Mapping_Non_Cyber_Servers[NIST Topic],Mapping_Non_Cyber_Results_by_TOPIC[[#This Row],[NIST Control]],Mapping_Non_Cyber_Servers[Total emissions (kgC02e)])</f>
        <v>0</v>
      </c>
    </row>
    <row r="29" spans="1:7" outlineLevel="1">
      <c r="B29" t="s">
        <v>27</v>
      </c>
      <c r="C29" s="123">
        <f>SUM(Mapping_Non_Cyber_Results_by_TOPIC[[#This Row],[Workstation_Laptop]:[Non Cyber Servers]])</f>
        <v>0</v>
      </c>
      <c r="D29" s="123">
        <f>SUMIF(Mapping_Non_Cyber_Workstation_Laptop[NIST Topic],Mapping_Non_Cyber_Results_by_TOPIC[[#This Row],[NIST Control]],Mapping_Non_Cyber_Workstation_Laptop[Total emissions (kgC02e)])</f>
        <v>0</v>
      </c>
      <c r="E29" s="123">
        <f>SUMIF(Mapping_Non_Cyber_Workstation_Desktop[NIST Topic],Mapping_Non_Cyber_Results_by_TOPIC[[#This Row],[NIST Control]],Mapping_Non_Cyber_Workstation_Desktop[Total emissions (kgC02e)])</f>
        <v>0</v>
      </c>
      <c r="F29" s="123">
        <f>SUMIF(Mapping_Non_Cyber_VDI[NIST Topic],Mapping_Non_Cyber_Results_by_TOPIC[[#This Row],[NIST Control]],Mapping_Non_Cyber_VDI[Total emissions (kgC02e)])</f>
        <v>0</v>
      </c>
      <c r="G29" s="123">
        <f>SUMIF(Mapping_Non_Cyber_Servers[NIST Topic],Mapping_Non_Cyber_Results_by_TOPIC[[#This Row],[NIST Control]],Mapping_Non_Cyber_Servers[Total emissions (kgC02e)])</f>
        <v>0</v>
      </c>
    </row>
    <row r="30" spans="1:7">
      <c r="B30" t="s">
        <v>367</v>
      </c>
      <c r="C30" s="123">
        <f>SUBTOTAL(109,Mapping_Non_Cyber_Results_by_TOPIC[Total Log and Antivirus for non cybe equipments emissions (kgCO2e)])</f>
        <v>33076.888075333336</v>
      </c>
      <c r="D30" s="123">
        <f>SUBTOTAL(109,Mapping_Non_Cyber_Results_by_TOPIC[Workstation_Laptop])</f>
        <v>8943.5082954000009</v>
      </c>
      <c r="E30" s="123">
        <f>SUBTOTAL(109,Mapping_Non_Cyber_Results_by_TOPIC[Workstation_Desktop])</f>
        <v>21438.808077999998</v>
      </c>
      <c r="F30" s="123">
        <f>SUBTOTAL(109,Mapping_Non_Cyber_Results_by_TOPIC[VDI])</f>
        <v>0</v>
      </c>
      <c r="G30" s="123">
        <f>SUBTOTAL(109,Mapping_Non_Cyber_Results_by_TOPIC[Non Cyber Servers])</f>
        <v>2694.5717019333333</v>
      </c>
    </row>
    <row r="31" spans="1:7">
      <c r="A31"/>
    </row>
    <row r="32" spans="1:7" ht="21">
      <c r="A32" s="98" t="s">
        <v>350</v>
      </c>
    </row>
    <row r="33" spans="1:11" s="25" customFormat="1" ht="15" customHeight="1">
      <c r="B33" s="96" t="s">
        <v>245</v>
      </c>
      <c r="C33" s="96" t="s">
        <v>368</v>
      </c>
      <c r="D33" s="96" t="s">
        <v>28</v>
      </c>
      <c r="E33" s="96" t="s">
        <v>29</v>
      </c>
      <c r="F33" s="96" t="s">
        <v>369</v>
      </c>
      <c r="G33" s="58" t="s">
        <v>252</v>
      </c>
      <c r="H33" s="58" t="s">
        <v>253</v>
      </c>
      <c r="I33" s="58" t="s">
        <v>254</v>
      </c>
    </row>
    <row r="34" spans="1:11" ht="15" customHeight="1">
      <c r="B34" s="167" t="s">
        <v>421</v>
      </c>
      <c r="C34" s="101"/>
      <c r="D34" s="125" t="s">
        <v>137</v>
      </c>
      <c r="E34" s="95" t="str">
        <f>_xlfn.XLOOKUP(Mapping_Non_Cyber_Workstation_Laptop[[#This Row],[NIST Control]],Referential_NIST_Control[NIST Control],Referential_NIST_Control[NIST Topic])</f>
        <v>OPS</v>
      </c>
      <c r="F34" s="121">
        <f>'3.3 Assumptions'!$D$16</f>
        <v>7.4999999999999997E-3</v>
      </c>
      <c r="G34" s="123">
        <f>'1.7 Non-cyber equipments'!I15*Mapping_Non_Cyber_Workstation_Laptop[[#This Row],[% Dedicated to cyber]]</f>
        <v>1930.4286290324999</v>
      </c>
      <c r="H34" s="123">
        <f>'1.7 Non-cyber equipments'!J15*Mapping_Non_Cyber_Workstation_Laptop[[#This Row],[% Dedicated to cyber]]</f>
        <v>4740.8965500000004</v>
      </c>
      <c r="I34" s="123">
        <f>Mapping_Non_Cyber_Workstation_Laptop[[#This Row],[Scope 2 (kgC02e)]]+Mapping_Non_Cyber_Workstation_Laptop[[#This Row],[Scope 3 (kgC02e)]]</f>
        <v>6671.3251790325003</v>
      </c>
      <c r="K34" s="144"/>
    </row>
    <row r="35" spans="1:11" ht="15" customHeight="1">
      <c r="B35" s="167" t="s">
        <v>422</v>
      </c>
      <c r="C35" s="101"/>
      <c r="D35" s="125" t="s">
        <v>69</v>
      </c>
      <c r="E35" s="95" t="str">
        <f>_xlfn.XLOOKUP(Mapping_Non_Cyber_Workstation_Laptop[[#This Row],[NIST Control]],Referential_NIST_Control[NIST Control],Referential_NIST_Control[NIST Topic])</f>
        <v>DET</v>
      </c>
      <c r="F35" s="121">
        <f>'3.3 Assumptions'!$D$15</f>
        <v>2.5000000000000001E-3</v>
      </c>
      <c r="G35" s="123">
        <f>'1.7 Non-cyber equipments'!I15*Mapping_Non_Cyber_Workstation_Laptop[[#This Row],[% Dedicated to cyber]]</f>
        <v>643.47620967750004</v>
      </c>
      <c r="H35" s="123">
        <f>'1.7 Non-cyber equipments'!J15*Mapping_Non_Cyber_Workstation_Laptop[[#This Row],[% Dedicated to cyber]]</f>
        <v>1580.2988500000001</v>
      </c>
      <c r="I35" s="123">
        <f>Mapping_Non_Cyber_Workstation_Laptop[[#This Row],[Scope 2 (kgC02e)]]+Mapping_Non_Cyber_Workstation_Laptop[[#This Row],[Scope 3 (kgC02e)]]</f>
        <v>2223.7750596775004</v>
      </c>
      <c r="K35" s="144"/>
    </row>
    <row r="36" spans="1:11" ht="15" customHeight="1">
      <c r="B36" s="167" t="s">
        <v>423</v>
      </c>
      <c r="C36" s="101"/>
      <c r="D36" s="125" t="s">
        <v>137</v>
      </c>
      <c r="E36" s="95" t="str">
        <f>_xlfn.XLOOKUP(Mapping_Non_Cyber_Workstation_Laptop[[#This Row],[NIST Control]],Referential_NIST_Control[NIST Control],Referential_NIST_Control[NIST Topic])</f>
        <v>OPS</v>
      </c>
      <c r="F36" s="121">
        <f>'3.3 Assumptions'!$D$16</f>
        <v>7.4999999999999997E-3</v>
      </c>
      <c r="G36" s="123">
        <f>'1.7 Non-cyber equipments'!I16*Mapping_Non_Cyber_Workstation_Laptop[[#This Row],[% Dedicated to cyber]]</f>
        <v>0.10401576749999999</v>
      </c>
      <c r="H36" s="123">
        <f>'1.7 Non-cyber equipments'!J16*Mapping_Non_Cyber_Workstation_Laptop[[#This Row],[% Dedicated to cyber]]</f>
        <v>0.25545000000000001</v>
      </c>
      <c r="I36" s="123">
        <f>Mapping_Non_Cyber_Workstation_Laptop[[#This Row],[Scope 2 (kgC02e)]]+Mapping_Non_Cyber_Workstation_Laptop[[#This Row],[Scope 3 (kgC02e)]]</f>
        <v>0.35946576750000003</v>
      </c>
      <c r="K36" s="144"/>
    </row>
    <row r="37" spans="1:11" ht="15" customHeight="1">
      <c r="B37" s="167" t="s">
        <v>424</v>
      </c>
      <c r="C37" s="101"/>
      <c r="D37" s="125" t="s">
        <v>69</v>
      </c>
      <c r="E37" s="95" t="str">
        <f>_xlfn.XLOOKUP(Mapping_Non_Cyber_Workstation_Laptop[[#This Row],[NIST Control]],Referential_NIST_Control[NIST Control],Referential_NIST_Control[NIST Topic])</f>
        <v>DET</v>
      </c>
      <c r="F37" s="121">
        <f>'3.3 Assumptions'!$D$15</f>
        <v>2.5000000000000001E-3</v>
      </c>
      <c r="G37" s="123">
        <f>'1.7 Non-cyber equipments'!I16*Mapping_Non_Cyber_Workstation_Laptop[[#This Row],[% Dedicated to cyber]]</f>
        <v>3.4671922500000001E-2</v>
      </c>
      <c r="H37" s="123">
        <f>'1.7 Non-cyber equipments'!J16*Mapping_Non_Cyber_Workstation_Laptop[[#This Row],[% Dedicated to cyber]]</f>
        <v>8.5150000000000003E-2</v>
      </c>
      <c r="I37" s="123">
        <f>Mapping_Non_Cyber_Workstation_Laptop[[#This Row],[Scope 2 (kgC02e)]]+Mapping_Non_Cyber_Workstation_Laptop[[#This Row],[Scope 3 (kgC02e)]]</f>
        <v>0.11982192250000001</v>
      </c>
      <c r="K37" s="144"/>
    </row>
    <row r="38" spans="1:11" ht="15" customHeight="1">
      <c r="B38" s="167" t="s">
        <v>353</v>
      </c>
      <c r="C38" s="101"/>
      <c r="D38" s="125" t="s">
        <v>95</v>
      </c>
      <c r="E38" s="95" t="str">
        <f>_xlfn.XLOOKUP(Mapping_Non_Cyber_Workstation_Laptop[[#This Row],[NIST Control]],Referential_NIST_Control[NIST Control],Referential_NIST_Control[NIST Topic])</f>
        <v>ENDPT</v>
      </c>
      <c r="F38" s="122">
        <v>1</v>
      </c>
      <c r="G38" s="123">
        <f>'1.7 Non-cyber equipments'!I17*Mapping_Non_Cyber_Workstation_Laptop[[#This Row],[% Dedicated to cyber]]</f>
        <v>13.868769</v>
      </c>
      <c r="H38" s="123">
        <f>'1.7 Non-cyber equipments'!J17*Mapping_Non_Cyber_Workstation_Laptop[[#This Row],[% Dedicated to cyber]]</f>
        <v>34.06</v>
      </c>
      <c r="I38" s="123">
        <f>Mapping_Non_Cyber_Workstation_Laptop[[#This Row],[Scope 2 (kgC02e)]]+Mapping_Non_Cyber_Workstation_Laptop[[#This Row],[Scope 3 (kgC02e)]]</f>
        <v>47.928769000000003</v>
      </c>
      <c r="K38" s="144"/>
    </row>
    <row r="41" spans="1:11" ht="21">
      <c r="A41" s="98" t="s">
        <v>354</v>
      </c>
    </row>
    <row r="42" spans="1:11" s="25" customFormat="1" ht="15" customHeight="1">
      <c r="B42" s="96" t="s">
        <v>245</v>
      </c>
      <c r="C42" s="96" t="s">
        <v>368</v>
      </c>
      <c r="D42" s="96" t="s">
        <v>28</v>
      </c>
      <c r="E42" s="96" t="s">
        <v>29</v>
      </c>
      <c r="F42" s="96" t="s">
        <v>369</v>
      </c>
      <c r="G42" s="58" t="s">
        <v>252</v>
      </c>
      <c r="H42" s="58" t="s">
        <v>253</v>
      </c>
      <c r="I42" s="58" t="s">
        <v>254</v>
      </c>
    </row>
    <row r="43" spans="1:11" ht="15" customHeight="1">
      <c r="B43" s="167" t="s">
        <v>421</v>
      </c>
      <c r="C43" s="201"/>
      <c r="D43" s="125" t="s">
        <v>137</v>
      </c>
      <c r="E43" s="95" t="str">
        <f>_xlfn.XLOOKUP(Mapping_Non_Cyber_Workstation_Desktop[[#This Row],[NIST Control]],Referential_NIST_Control[NIST Control],Referential_NIST_Control[NIST Topic])</f>
        <v>OPS</v>
      </c>
      <c r="F43" s="121">
        <f>'3.3 Assumptions'!$D$16</f>
        <v>7.4999999999999997E-3</v>
      </c>
      <c r="G43" s="123">
        <f>'1.7 Non-cyber equipments'!I22*Mapping_Non_Cyber_Workstation_Desktop[[#This Row],[% Dedicated to cyber]]</f>
        <v>10017.000789825001</v>
      </c>
      <c r="H43" s="123">
        <f>'1.7 Non-cyber equipments'!J22*Mapping_Non_Cyber_Workstation_Desktop[[#This Row],[% Dedicated to cyber]]</f>
        <v>5639.4593014499997</v>
      </c>
      <c r="I43" s="123">
        <f>Mapping_Non_Cyber_Workstation_Desktop[[#This Row],[Scope 2 (kgC02e)]]+Mapping_Non_Cyber_Workstation_Desktop[[#This Row],[Scope 3 (kgC02e)]]</f>
        <v>15656.460091274999</v>
      </c>
      <c r="K43" s="144"/>
    </row>
    <row r="44" spans="1:11" ht="15" customHeight="1">
      <c r="B44" s="167" t="s">
        <v>422</v>
      </c>
      <c r="C44" s="201"/>
      <c r="D44" s="125" t="s">
        <v>69</v>
      </c>
      <c r="E44" s="95" t="str">
        <f>_xlfn.XLOOKUP(Mapping_Non_Cyber_Workstation_Desktop[[#This Row],[NIST Control]],Referential_NIST_Control[NIST Control],Referential_NIST_Control[NIST Topic])</f>
        <v>DET</v>
      </c>
      <c r="F44" s="121">
        <f>'3.3 Assumptions'!$D$15</f>
        <v>2.5000000000000001E-3</v>
      </c>
      <c r="G44" s="123">
        <f>'1.7 Non-cyber equipments'!I22*Mapping_Non_Cyber_Workstation_Desktop[[#This Row],[% Dedicated to cyber]]</f>
        <v>3339.0002632750002</v>
      </c>
      <c r="H44" s="123">
        <f>'1.7 Non-cyber equipments'!J22*Mapping_Non_Cyber_Workstation_Desktop[[#This Row],[% Dedicated to cyber]]</f>
        <v>1879.81976715</v>
      </c>
      <c r="I44" s="123">
        <f>Mapping_Non_Cyber_Workstation_Desktop[[#This Row],[Scope 2 (kgC02e)]]+Mapping_Non_Cyber_Workstation_Desktop[[#This Row],[Scope 3 (kgC02e)]]</f>
        <v>5218.8200304250004</v>
      </c>
      <c r="K44" s="144"/>
    </row>
    <row r="45" spans="1:11" ht="15" customHeight="1">
      <c r="B45" s="167" t="s">
        <v>423</v>
      </c>
      <c r="C45" s="201"/>
      <c r="D45" s="125" t="s">
        <v>137</v>
      </c>
      <c r="E45" s="95" t="str">
        <f>_xlfn.XLOOKUP(Mapping_Non_Cyber_Workstation_Desktop[[#This Row],[NIST Control]],Referential_NIST_Control[NIST Control],Referential_NIST_Control[NIST Topic])</f>
        <v>OPS</v>
      </c>
      <c r="F45" s="121">
        <f>'3.3 Assumptions'!$D$16</f>
        <v>7.4999999999999997E-3</v>
      </c>
      <c r="G45" s="123">
        <f>'1.7 Non-cyber equipments'!I23*Mapping_Non_Cyber_Workstation_Desktop[[#This Row],[% Dedicated to cyber]]</f>
        <v>0.53973817499999999</v>
      </c>
      <c r="H45" s="123">
        <f>'1.7 Non-cyber equipments'!J23*Mapping_Non_Cyber_Workstation_Desktop[[#This Row],[% Dedicated to cyber]]</f>
        <v>0.30386655000000001</v>
      </c>
      <c r="I45" s="123">
        <f>Mapping_Non_Cyber_Workstation_Desktop[[#This Row],[Scope 2 (kgC02e)]]+Mapping_Non_Cyber_Workstation_Desktop[[#This Row],[Scope 3 (kgC02e)]]</f>
        <v>0.84360472500000006</v>
      </c>
      <c r="K45" s="144"/>
    </row>
    <row r="46" spans="1:11" ht="15" customHeight="1">
      <c r="B46" s="167" t="s">
        <v>424</v>
      </c>
      <c r="C46" s="201"/>
      <c r="D46" s="125" t="s">
        <v>69</v>
      </c>
      <c r="E46" s="95" t="str">
        <f>_xlfn.XLOOKUP(Mapping_Non_Cyber_Workstation_Desktop[[#This Row],[NIST Control]],Referential_NIST_Control[NIST Control],Referential_NIST_Control[NIST Topic])</f>
        <v>DET</v>
      </c>
      <c r="F46" s="121">
        <f>'3.3 Assumptions'!$D$15</f>
        <v>2.5000000000000001E-3</v>
      </c>
      <c r="G46" s="123">
        <f>'1.7 Non-cyber equipments'!I23*Mapping_Non_Cyber_Workstation_Desktop[[#This Row],[% Dedicated to cyber]]</f>
        <v>0.17991272500000002</v>
      </c>
      <c r="H46" s="123">
        <f>'1.7 Non-cyber equipments'!J23*Mapping_Non_Cyber_Workstation_Desktop[[#This Row],[% Dedicated to cyber]]</f>
        <v>0.10128885</v>
      </c>
      <c r="I46" s="123">
        <f>Mapping_Non_Cyber_Workstation_Desktop[[#This Row],[Scope 2 (kgC02e)]]+Mapping_Non_Cyber_Workstation_Desktop[[#This Row],[Scope 3 (kgC02e)]]</f>
        <v>0.28120157500000004</v>
      </c>
      <c r="K46" s="144"/>
    </row>
    <row r="47" spans="1:11" ht="15" customHeight="1">
      <c r="B47" s="167" t="s">
        <v>353</v>
      </c>
      <c r="C47" s="201"/>
      <c r="D47" s="125" t="s">
        <v>95</v>
      </c>
      <c r="E47" s="95" t="str">
        <f>_xlfn.XLOOKUP(Mapping_Non_Cyber_Workstation_Desktop[[#This Row],[NIST Control]],Referential_NIST_Control[NIST Control],Referential_NIST_Control[NIST Topic])</f>
        <v>ENDPT</v>
      </c>
      <c r="F47" s="122">
        <v>1</v>
      </c>
      <c r="G47" s="123">
        <f>'1.7 Non-cyber equipments'!I24*Mapping_Non_Cyber_Workstation_Desktop[[#This Row],[% Dedicated to cyber]]</f>
        <v>359.82545000000005</v>
      </c>
      <c r="H47" s="123">
        <f>'1.7 Non-cyber equipments'!J24*Mapping_Non_Cyber_Workstation_Desktop[[#This Row],[% Dedicated to cyber]]</f>
        <v>202.57769999999999</v>
      </c>
      <c r="I47" s="123">
        <f>Mapping_Non_Cyber_Workstation_Desktop[[#This Row],[Scope 2 (kgC02e)]]+Mapping_Non_Cyber_Workstation_Desktop[[#This Row],[Scope 3 (kgC02e)]]</f>
        <v>562.4031500000001</v>
      </c>
      <c r="K47" s="144"/>
    </row>
    <row r="48" spans="1:11" ht="15" customHeight="1">
      <c r="K48" s="144"/>
    </row>
    <row r="49" spans="1:11" ht="15" customHeight="1">
      <c r="A49" s="98" t="s">
        <v>425</v>
      </c>
      <c r="K49" s="144"/>
    </row>
    <row r="50" spans="1:11" ht="15" customHeight="1">
      <c r="K50" s="144"/>
    </row>
    <row r="51" spans="1:11">
      <c r="B51" s="58" t="s">
        <v>245</v>
      </c>
      <c r="C51" s="96" t="s">
        <v>368</v>
      </c>
      <c r="D51" s="96" t="s">
        <v>28</v>
      </c>
      <c r="E51" s="96" t="s">
        <v>29</v>
      </c>
      <c r="F51" s="58" t="s">
        <v>252</v>
      </c>
      <c r="G51" s="58" t="s">
        <v>253</v>
      </c>
      <c r="H51" s="58" t="s">
        <v>254</v>
      </c>
    </row>
    <row r="52" spans="1:11">
      <c r="B52" s="168" t="s">
        <v>356</v>
      </c>
      <c r="C52" s="102"/>
      <c r="D52" s="95" t="s">
        <v>95</v>
      </c>
      <c r="E52" s="95" t="str">
        <f>_xlfn.XLOOKUP(Mapping_Non_Cyber_VDI[[#This Row],[NIST Control]],Referential_NIST_Control[NIST Control],Referential_NIST_Control[NIST Topic])</f>
        <v>ENDPT</v>
      </c>
      <c r="F52" s="123">
        <f>'1.7 Non-cyber equipments'!H31</f>
        <v>0</v>
      </c>
      <c r="G52" s="123">
        <f>'1.7 Non-cyber equipments'!I31</f>
        <v>0</v>
      </c>
      <c r="H52" s="123">
        <f>Mapping_Non_Cyber_VDI[[#This Row],[Scope 2 (kgC02e)]]+Mapping_Non_Cyber_VDI[[#This Row],[Scope 3 (kgC02e)]]</f>
        <v>0</v>
      </c>
    </row>
    <row r="53" spans="1:11">
      <c r="B53" s="168" t="s">
        <v>426</v>
      </c>
      <c r="C53" s="102"/>
      <c r="D53" s="95" t="s">
        <v>87</v>
      </c>
      <c r="E53" s="95" t="str">
        <f>_xlfn.XLOOKUP(Mapping_Non_Cyber_VDI[[#This Row],[NIST Control]],Referential_NIST_Control[NIST Control],Referential_NIST_Control[NIST Topic])</f>
        <v>ENDPT</v>
      </c>
      <c r="F53" s="123">
        <f>'1.7 Non-cyber equipments'!H32</f>
        <v>0</v>
      </c>
      <c r="G53" s="123">
        <f>'1.7 Non-cyber equipments'!I32</f>
        <v>0</v>
      </c>
      <c r="H53" s="123">
        <f>Mapping_Non_Cyber_VDI[[#This Row],[Scope 2 (kgC02e)]]+Mapping_Non_Cyber_VDI[[#This Row],[Scope 3 (kgC02e)]]</f>
        <v>0</v>
      </c>
    </row>
    <row r="57" spans="1:11" ht="42">
      <c r="A57" s="98" t="s">
        <v>358</v>
      </c>
      <c r="B57"/>
      <c r="C57"/>
      <c r="D57"/>
      <c r="E57"/>
      <c r="F57"/>
      <c r="G57"/>
      <c r="H57"/>
      <c r="I57"/>
    </row>
    <row r="58" spans="1:11">
      <c r="A58"/>
      <c r="B58" s="96" t="s">
        <v>245</v>
      </c>
      <c r="C58" s="96" t="s">
        <v>368</v>
      </c>
      <c r="D58" s="96" t="s">
        <v>28</v>
      </c>
      <c r="E58" s="96" t="s">
        <v>29</v>
      </c>
      <c r="F58" s="96" t="s">
        <v>369</v>
      </c>
      <c r="G58" s="58" t="s">
        <v>252</v>
      </c>
      <c r="H58" s="58" t="s">
        <v>253</v>
      </c>
      <c r="I58" s="106" t="s">
        <v>254</v>
      </c>
      <c r="J58" s="144"/>
    </row>
    <row r="59" spans="1:11">
      <c r="A59"/>
      <c r="B59" s="167" t="s">
        <v>427</v>
      </c>
      <c r="C59" s="101"/>
      <c r="D59" s="125" t="s">
        <v>69</v>
      </c>
      <c r="E59" s="95" t="str">
        <f>_xlfn.XLOOKUP(Mapping_Non_Cyber_Servers[[#This Row],[NIST Control]],Referential_NIST_Control[NIST Control],Referential_NIST_Control[NIST Topic])</f>
        <v>DET</v>
      </c>
      <c r="F59" s="121">
        <f>'3.3 Assumptions'!D17</f>
        <v>7.4999999999999997E-3</v>
      </c>
      <c r="G59" s="123">
        <f>SUM(Non_Cyber_Servers[Scope 2 (kgCO2e)])*Mapping_Non_Cyber_Servers[[#This Row],[% Dedicated to cyber]]</f>
        <v>152.83459215000002</v>
      </c>
      <c r="H59" s="123">
        <f>SUM(Non_Cyber_Servers[Scope 3 (kgCO2e)])*Mapping_Non_Cyber_Servers[[#This Row],[% Dedicated to cyber]]</f>
        <v>520.80833333333328</v>
      </c>
      <c r="I59" s="123">
        <f>Mapping_Non_Cyber_Servers[[#This Row],[Scope 2 (kgC02e)]]+Mapping_Non_Cyber_Servers[[#This Row],[Scope 3 (kgC02e)]]</f>
        <v>673.64292548333333</v>
      </c>
    </row>
    <row r="60" spans="1:11">
      <c r="A60"/>
      <c r="B60" s="167" t="s">
        <v>428</v>
      </c>
      <c r="C60" s="101"/>
      <c r="D60" s="125" t="s">
        <v>137</v>
      </c>
      <c r="E60" s="95" t="str">
        <f>_xlfn.XLOOKUP(Mapping_Non_Cyber_Servers[[#This Row],[NIST Control]],Referential_NIST_Control[NIST Control],Referential_NIST_Control[NIST Topic])</f>
        <v>OPS</v>
      </c>
      <c r="F60" s="121">
        <f>'3.3 Assumptions'!D18</f>
        <v>2.2499999999999999E-2</v>
      </c>
      <c r="G60" s="123">
        <f>SUM(Non_Cyber_Servers[Scope 2 (kgCO2e)])*Mapping_Non_Cyber_Servers[[#This Row],[% Dedicated to cyber]]</f>
        <v>458.50377645000003</v>
      </c>
      <c r="H60" s="123">
        <f>SUM(Non_Cyber_Servers[Scope 3 (kgCO2e)])*Mapping_Non_Cyber_Servers[[#This Row],[% Dedicated to cyber]]</f>
        <v>1562.425</v>
      </c>
      <c r="I60" s="123">
        <f>Mapping_Non_Cyber_Servers[[#This Row],[Scope 2 (kgC02e)]]+Mapping_Non_Cyber_Servers[[#This Row],[Scope 3 (kgC02e)]]</f>
        <v>2020.92877645</v>
      </c>
    </row>
    <row r="61" spans="1:11">
      <c r="A61"/>
      <c r="B61"/>
      <c r="C61"/>
      <c r="D61"/>
      <c r="E61"/>
      <c r="F61"/>
      <c r="G61"/>
      <c r="H61"/>
      <c r="I61"/>
    </row>
    <row r="62" spans="1:11">
      <c r="A62"/>
      <c r="B62"/>
      <c r="C62"/>
      <c r="D62"/>
      <c r="E62"/>
      <c r="F62"/>
      <c r="G62"/>
      <c r="H62"/>
      <c r="I62"/>
    </row>
  </sheetData>
  <pageMargins left="0.7" right="0.7" top="0.75" bottom="0.75" header="0.3" footer="0.3"/>
  <pageSetup paperSize="9" orientation="portrait"/>
  <tableParts count="5">
    <tablePart r:id="rId1"/>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4758F-AC9B-4F8E-89CE-C7A76EADFC54}">
  <sheetPr>
    <tabColor theme="8"/>
  </sheetPr>
  <dimension ref="A1:D154"/>
  <sheetViews>
    <sheetView showGridLines="0" zoomScale="85" zoomScaleNormal="85" workbookViewId="0">
      <selection activeCell="D44" sqref="D44"/>
    </sheetView>
  </sheetViews>
  <sheetFormatPr defaultColWidth="11.42578125" defaultRowHeight="14.45"/>
  <cols>
    <col min="2" max="2" width="13" customWidth="1"/>
    <col min="3" max="3" width="15" customWidth="1"/>
  </cols>
  <sheetData>
    <row r="1" spans="1:4">
      <c r="A1" s="19" t="s">
        <v>429</v>
      </c>
      <c r="B1" s="20"/>
      <c r="C1" s="20"/>
    </row>
    <row r="2" spans="1:4">
      <c r="A2" s="20" t="s">
        <v>430</v>
      </c>
      <c r="B2" s="6" t="s">
        <v>431</v>
      </c>
      <c r="C2" s="20" t="s">
        <v>432</v>
      </c>
    </row>
    <row r="3" spans="1:4">
      <c r="A3" s="20"/>
      <c r="B3" s="20"/>
      <c r="C3" s="20"/>
    </row>
    <row r="4" spans="1:4">
      <c r="A4" s="20"/>
      <c r="B4" s="21" t="s">
        <v>433</v>
      </c>
      <c r="C4" s="21" t="s">
        <v>434</v>
      </c>
      <c r="D4" s="21" t="s">
        <v>190</v>
      </c>
    </row>
    <row r="5" spans="1:4">
      <c r="A5" s="20"/>
      <c r="B5" s="139" t="s">
        <v>435</v>
      </c>
      <c r="C5" s="140">
        <v>0.54800000000000004</v>
      </c>
      <c r="D5" s="203"/>
    </row>
    <row r="6" spans="1:4">
      <c r="A6" s="20"/>
      <c r="B6" s="139" t="s">
        <v>436</v>
      </c>
      <c r="C6" s="140">
        <v>0.44</v>
      </c>
      <c r="D6" s="203"/>
    </row>
    <row r="7" spans="1:4">
      <c r="A7" s="20"/>
      <c r="B7" s="139" t="s">
        <v>437</v>
      </c>
      <c r="C7" s="140">
        <v>0.36699999999999999</v>
      </c>
      <c r="D7" s="203"/>
    </row>
    <row r="8" spans="1:4">
      <c r="A8" s="20"/>
      <c r="B8" s="139" t="s">
        <v>438</v>
      </c>
      <c r="C8" s="140">
        <v>0.18099999999999999</v>
      </c>
      <c r="D8" s="203"/>
    </row>
    <row r="9" spans="1:4">
      <c r="A9" s="20"/>
      <c r="B9" s="139" t="s">
        <v>439</v>
      </c>
      <c r="C9" s="140">
        <v>0.84099999999999997</v>
      </c>
      <c r="D9" s="203"/>
    </row>
    <row r="10" spans="1:4">
      <c r="A10" s="20"/>
      <c r="B10" s="139" t="s">
        <v>440</v>
      </c>
      <c r="C10" s="140">
        <v>0.188</v>
      </c>
      <c r="D10" s="203"/>
    </row>
    <row r="11" spans="1:4">
      <c r="A11" s="20"/>
      <c r="B11" s="139" t="s">
        <v>236</v>
      </c>
      <c r="C11" s="140">
        <v>0.58399999999999996</v>
      </c>
      <c r="D11" s="203"/>
    </row>
    <row r="12" spans="1:4">
      <c r="A12" s="20"/>
      <c r="B12" s="139" t="s">
        <v>243</v>
      </c>
      <c r="C12" s="140">
        <v>0.64</v>
      </c>
      <c r="D12" s="203"/>
    </row>
    <row r="13" spans="1:4">
      <c r="A13" s="20"/>
      <c r="B13" s="139" t="s">
        <v>441</v>
      </c>
      <c r="C13" s="140">
        <v>0.59299999999999997</v>
      </c>
      <c r="D13" s="203"/>
    </row>
    <row r="14" spans="1:4">
      <c r="A14" s="20"/>
      <c r="B14" s="139" t="s">
        <v>241</v>
      </c>
      <c r="C14" s="140">
        <v>0.58499999999999996</v>
      </c>
      <c r="D14" s="203"/>
    </row>
    <row r="15" spans="1:4">
      <c r="A15" s="20"/>
      <c r="B15" s="139" t="s">
        <v>242</v>
      </c>
      <c r="C15" s="140">
        <v>0.22</v>
      </c>
      <c r="D15" s="203"/>
    </row>
    <row r="16" spans="1:4">
      <c r="A16" s="20"/>
      <c r="B16" s="139" t="s">
        <v>442</v>
      </c>
      <c r="C16" s="140">
        <v>0.72</v>
      </c>
      <c r="D16" s="203"/>
    </row>
    <row r="17" spans="1:4">
      <c r="A17" s="20"/>
      <c r="B17" s="139" t="s">
        <v>443</v>
      </c>
      <c r="C17" s="140">
        <v>0.42299999999999999</v>
      </c>
      <c r="D17" s="203"/>
    </row>
    <row r="18" spans="1:4" ht="24.6">
      <c r="A18" s="20"/>
      <c r="B18" s="139" t="s">
        <v>444</v>
      </c>
      <c r="C18" s="140">
        <v>0.72899999999999998</v>
      </c>
      <c r="D18" s="203"/>
    </row>
    <row r="19" spans="1:4">
      <c r="A19" s="20"/>
      <c r="B19" s="139" t="s">
        <v>445</v>
      </c>
      <c r="C19" s="140">
        <v>2.5169999999999999</v>
      </c>
      <c r="D19" s="203"/>
    </row>
    <row r="20" spans="1:4">
      <c r="A20" s="20"/>
      <c r="B20" s="139" t="s">
        <v>446</v>
      </c>
      <c r="C20" s="140">
        <v>8.6999999999999994E-2</v>
      </c>
      <c r="D20" s="203"/>
    </row>
    <row r="21" spans="1:4" ht="24.6">
      <c r="A21" s="20"/>
      <c r="B21" s="139" t="s">
        <v>447</v>
      </c>
      <c r="C21" s="140">
        <v>0.79800000000000004</v>
      </c>
      <c r="D21" s="203"/>
    </row>
    <row r="22" spans="1:4">
      <c r="A22" s="20"/>
      <c r="B22" s="139" t="s">
        <v>448</v>
      </c>
      <c r="C22" s="140">
        <v>0.57899999999999996</v>
      </c>
      <c r="D22" s="203"/>
    </row>
    <row r="23" spans="1:4">
      <c r="A23" s="20"/>
      <c r="B23" s="139" t="s">
        <v>449</v>
      </c>
      <c r="C23" s="140">
        <v>0.80400000000000005</v>
      </c>
      <c r="D23" s="203"/>
    </row>
    <row r="24" spans="1:4">
      <c r="A24" s="20"/>
      <c r="B24" s="139" t="s">
        <v>450</v>
      </c>
      <c r="C24" s="140">
        <v>0.20699999999999999</v>
      </c>
      <c r="D24" s="203"/>
    </row>
    <row r="25" spans="1:4">
      <c r="A25" s="20"/>
      <c r="B25" s="139" t="s">
        <v>451</v>
      </c>
      <c r="C25" s="140">
        <v>0.186</v>
      </c>
      <c r="D25" s="203"/>
    </row>
    <row r="26" spans="1:4">
      <c r="A26" s="20"/>
      <c r="B26" s="139" t="s">
        <v>452</v>
      </c>
      <c r="C26" s="140">
        <v>0.41</v>
      </c>
      <c r="D26" s="203"/>
    </row>
    <row r="27" spans="1:4">
      <c r="A27" s="20"/>
      <c r="B27" s="139" t="s">
        <v>238</v>
      </c>
      <c r="C27" s="140">
        <v>0.76600000000000001</v>
      </c>
      <c r="D27" s="203"/>
    </row>
    <row r="28" spans="1:4">
      <c r="A28" s="20"/>
      <c r="B28" s="139" t="s">
        <v>453</v>
      </c>
      <c r="C28" s="140">
        <v>0.17599999999999999</v>
      </c>
      <c r="D28" s="203"/>
    </row>
    <row r="29" spans="1:4">
      <c r="A29" s="20"/>
      <c r="B29" s="139" t="s">
        <v>454</v>
      </c>
      <c r="C29" s="140">
        <v>0.14199999999999999</v>
      </c>
      <c r="D29" s="203"/>
    </row>
    <row r="30" spans="1:4">
      <c r="A30" s="20"/>
      <c r="B30" s="139" t="s">
        <v>455</v>
      </c>
      <c r="C30" s="140">
        <v>5.6000000000000001E-2</v>
      </c>
      <c r="D30" s="203"/>
    </row>
    <row r="31" spans="1:4">
      <c r="A31" s="20"/>
      <c r="B31" s="139" t="s">
        <v>456</v>
      </c>
      <c r="C31" s="140">
        <v>0.30499999999999999</v>
      </c>
      <c r="D31" s="203"/>
    </row>
    <row r="32" spans="1:4">
      <c r="A32" s="20"/>
      <c r="B32" s="139" t="s">
        <v>457</v>
      </c>
      <c r="C32" s="140">
        <v>1.012</v>
      </c>
      <c r="D32" s="203"/>
    </row>
    <row r="33" spans="1:4">
      <c r="A33" s="20"/>
      <c r="B33" s="139" t="s">
        <v>458</v>
      </c>
      <c r="C33" s="140">
        <v>0.70199999999999996</v>
      </c>
      <c r="D33" s="203"/>
    </row>
    <row r="34" spans="1:4">
      <c r="A34" s="20"/>
      <c r="B34" s="139" t="s">
        <v>459</v>
      </c>
      <c r="C34" s="140">
        <v>0.58899999999999997</v>
      </c>
      <c r="D34" s="203"/>
    </row>
    <row r="35" spans="1:4">
      <c r="A35" s="20"/>
      <c r="B35" s="139" t="s">
        <v>460</v>
      </c>
      <c r="C35" s="140">
        <v>0.36</v>
      </c>
      <c r="D35" s="203"/>
    </row>
    <row r="36" spans="1:4" ht="24.6">
      <c r="A36" s="20"/>
      <c r="B36" s="139" t="s">
        <v>461</v>
      </c>
      <c r="C36" s="140">
        <v>0.58899999999999997</v>
      </c>
      <c r="D36" s="203"/>
    </row>
    <row r="37" spans="1:4">
      <c r="A37" s="20"/>
      <c r="B37" s="139" t="s">
        <v>462</v>
      </c>
      <c r="C37" s="140">
        <v>0.38900000000000001</v>
      </c>
      <c r="D37" s="203"/>
    </row>
    <row r="38" spans="1:4">
      <c r="A38" s="20"/>
      <c r="B38" s="139" t="s">
        <v>463</v>
      </c>
      <c r="C38" s="140">
        <v>0.45</v>
      </c>
      <c r="D38" s="203"/>
    </row>
    <row r="39" spans="1:4">
      <c r="A39" s="20"/>
      <c r="B39" s="139" t="s">
        <v>464</v>
      </c>
      <c r="C39" s="140">
        <v>0.223</v>
      </c>
      <c r="D39" s="203"/>
    </row>
    <row r="40" spans="1:4">
      <c r="A40" s="20"/>
      <c r="B40" s="139" t="s">
        <v>465</v>
      </c>
      <c r="C40" s="140">
        <v>0.64600000000000002</v>
      </c>
      <c r="D40" s="203"/>
    </row>
    <row r="41" spans="1:4">
      <c r="A41" s="20"/>
      <c r="B41" s="139" t="s">
        <v>466</v>
      </c>
      <c r="C41" s="140">
        <v>1.014</v>
      </c>
      <c r="D41" s="203"/>
    </row>
    <row r="42" spans="1:4" ht="36.6">
      <c r="A42" s="20"/>
      <c r="B42" s="139" t="s">
        <v>467</v>
      </c>
      <c r="C42" s="140">
        <v>0.42899999999999999</v>
      </c>
      <c r="D42" s="203"/>
    </row>
    <row r="43" spans="1:4">
      <c r="A43" s="20"/>
      <c r="B43" s="139" t="s">
        <v>468</v>
      </c>
      <c r="C43" s="140">
        <v>0.22900000000000001</v>
      </c>
      <c r="D43" s="203"/>
    </row>
    <row r="44" spans="1:4">
      <c r="A44" s="20"/>
      <c r="B44" s="139" t="s">
        <v>240</v>
      </c>
      <c r="C44" s="140">
        <v>5.8000000000000003E-2</v>
      </c>
      <c r="D44" s="204">
        <v>2023</v>
      </c>
    </row>
    <row r="45" spans="1:4" ht="18.95" customHeight="1">
      <c r="A45" s="20"/>
      <c r="B45" s="141" t="s">
        <v>469</v>
      </c>
      <c r="C45" s="140">
        <v>0.54300000000000004</v>
      </c>
      <c r="D45" s="203"/>
    </row>
    <row r="46" spans="1:4">
      <c r="A46" s="20"/>
      <c r="B46" s="139" t="s">
        <v>470</v>
      </c>
      <c r="C46" s="140">
        <v>0.38300000000000001</v>
      </c>
      <c r="D46" s="203"/>
    </row>
    <row r="47" spans="1:4">
      <c r="A47" s="20"/>
      <c r="B47" s="139" t="s">
        <v>237</v>
      </c>
      <c r="C47" s="140">
        <v>7.0999999999999994E-2</v>
      </c>
      <c r="D47" s="203"/>
    </row>
    <row r="48" spans="1:4">
      <c r="A48" s="20"/>
      <c r="B48" s="139" t="s">
        <v>292</v>
      </c>
      <c r="C48" s="140">
        <v>0.46100000000000002</v>
      </c>
      <c r="D48" s="203"/>
    </row>
    <row r="49" spans="1:4">
      <c r="A49" s="20"/>
      <c r="B49" s="139" t="s">
        <v>471</v>
      </c>
      <c r="C49" s="140">
        <v>0.25900000000000001</v>
      </c>
      <c r="D49" s="203"/>
    </row>
    <row r="50" spans="1:4">
      <c r="A50" s="20"/>
      <c r="B50" s="139" t="s">
        <v>472</v>
      </c>
      <c r="C50" s="140">
        <v>0.76200000000000001</v>
      </c>
      <c r="D50" s="203"/>
    </row>
    <row r="51" spans="1:4">
      <c r="A51" s="20"/>
      <c r="B51" s="139" t="s">
        <v>473</v>
      </c>
      <c r="C51" s="140">
        <v>0.71799999999999997</v>
      </c>
      <c r="D51" s="203"/>
    </row>
    <row r="52" spans="1:4">
      <c r="A52" s="20"/>
      <c r="B52" s="141" t="s">
        <v>474</v>
      </c>
      <c r="C52" s="140">
        <v>0.70199999999999996</v>
      </c>
      <c r="D52" s="203"/>
    </row>
    <row r="53" spans="1:4">
      <c r="A53" s="20"/>
      <c r="B53" s="139" t="s">
        <v>475</v>
      </c>
      <c r="C53" s="140">
        <v>0.28599999999999998</v>
      </c>
      <c r="D53" s="203"/>
    </row>
    <row r="54" spans="1:4">
      <c r="A54" s="20"/>
      <c r="B54" s="139" t="s">
        <v>476</v>
      </c>
      <c r="C54" s="140">
        <v>0.53800000000000003</v>
      </c>
      <c r="D54" s="203"/>
    </row>
    <row r="55" spans="1:4">
      <c r="A55" s="20"/>
      <c r="B55" s="139" t="s">
        <v>477</v>
      </c>
      <c r="C55" s="140">
        <v>0.33200000000000002</v>
      </c>
      <c r="D55" s="203"/>
    </row>
    <row r="56" spans="1:4">
      <c r="A56" s="20"/>
      <c r="B56" s="141" t="s">
        <v>478</v>
      </c>
      <c r="C56" s="140">
        <v>0.94199999999999995</v>
      </c>
      <c r="D56" s="203"/>
    </row>
    <row r="57" spans="1:4">
      <c r="A57" s="20"/>
      <c r="B57" s="139" t="s">
        <v>479</v>
      </c>
      <c r="C57" s="140">
        <v>0.317</v>
      </c>
      <c r="D57" s="203"/>
    </row>
    <row r="58" spans="1:4">
      <c r="A58" s="20"/>
      <c r="B58" s="139" t="s">
        <v>480</v>
      </c>
      <c r="C58" s="140">
        <v>2.8000000000000001E-2</v>
      </c>
      <c r="D58" s="203"/>
    </row>
    <row r="59" spans="1:4">
      <c r="A59" s="20"/>
      <c r="B59" s="139" t="s">
        <v>481</v>
      </c>
      <c r="C59" s="140">
        <v>0.91200000000000003</v>
      </c>
      <c r="D59" s="203"/>
    </row>
    <row r="60" spans="1:4">
      <c r="A60" s="20"/>
      <c r="B60" s="139" t="s">
        <v>482</v>
      </c>
      <c r="C60" s="140">
        <v>0.70899999999999996</v>
      </c>
      <c r="D60" s="203"/>
    </row>
    <row r="61" spans="1:4">
      <c r="A61" s="20"/>
      <c r="B61" s="139" t="s">
        <v>483</v>
      </c>
      <c r="C61" s="140">
        <v>1.0029999999999999</v>
      </c>
      <c r="D61" s="203"/>
    </row>
    <row r="62" spans="1:4">
      <c r="A62" s="20"/>
      <c r="B62" s="139" t="s">
        <v>484</v>
      </c>
      <c r="C62" s="140">
        <v>0.45800000000000002</v>
      </c>
      <c r="D62" s="203"/>
    </row>
    <row r="63" spans="1:4">
      <c r="A63" s="20"/>
      <c r="B63" s="139" t="s">
        <v>485</v>
      </c>
      <c r="C63" s="140">
        <v>0.68899999999999995</v>
      </c>
      <c r="D63" s="203"/>
    </row>
    <row r="64" spans="1:4">
      <c r="A64" s="20"/>
      <c r="B64" s="139" t="s">
        <v>486</v>
      </c>
      <c r="C64" s="140">
        <v>0.40600000000000003</v>
      </c>
      <c r="D64" s="203"/>
    </row>
    <row r="65" spans="1:4">
      <c r="A65" s="20"/>
      <c r="B65" s="139" t="s">
        <v>487</v>
      </c>
      <c r="C65" s="140">
        <v>0.44500000000000001</v>
      </c>
      <c r="D65" s="203"/>
    </row>
    <row r="66" spans="1:4">
      <c r="A66" s="20"/>
      <c r="B66" s="139" t="s">
        <v>488</v>
      </c>
      <c r="C66" s="140">
        <v>0.71099999999999997</v>
      </c>
      <c r="D66" s="203"/>
    </row>
    <row r="67" spans="1:4">
      <c r="A67" s="20"/>
      <c r="B67" s="139" t="s">
        <v>489</v>
      </c>
      <c r="C67" s="140">
        <v>0.41599999999999998</v>
      </c>
      <c r="D67" s="203"/>
    </row>
    <row r="68" spans="1:4">
      <c r="A68" s="20"/>
      <c r="B68" s="139" t="s">
        <v>490</v>
      </c>
      <c r="C68" s="140">
        <v>0.56599999999999995</v>
      </c>
      <c r="D68" s="203"/>
    </row>
    <row r="69" spans="1:4">
      <c r="A69" s="20"/>
      <c r="B69" s="139" t="s">
        <v>491</v>
      </c>
      <c r="C69" s="140">
        <v>0.76600000000000001</v>
      </c>
      <c r="D69" s="203"/>
    </row>
    <row r="70" spans="1:4">
      <c r="A70" s="20"/>
      <c r="B70" s="139" t="s">
        <v>492</v>
      </c>
      <c r="C70" s="140">
        <v>0.27400000000000002</v>
      </c>
      <c r="D70" s="203"/>
    </row>
    <row r="71" spans="1:4">
      <c r="A71" s="20"/>
      <c r="B71" s="139" t="s">
        <v>493</v>
      </c>
      <c r="C71" s="140">
        <v>1.2869999999999999</v>
      </c>
      <c r="D71" s="203"/>
    </row>
    <row r="72" spans="1:4">
      <c r="A72" s="20"/>
      <c r="B72" s="139" t="s">
        <v>494</v>
      </c>
      <c r="C72" s="140">
        <v>0.84199999999999997</v>
      </c>
      <c r="D72" s="203"/>
    </row>
    <row r="73" spans="1:4">
      <c r="A73" s="20"/>
      <c r="B73" s="139" t="s">
        <v>495</v>
      </c>
      <c r="C73" s="140">
        <v>9.4E-2</v>
      </c>
      <c r="D73" s="203"/>
    </row>
    <row r="74" spans="1:4">
      <c r="A74" s="20"/>
      <c r="B74" s="139" t="s">
        <v>496</v>
      </c>
      <c r="C74" s="140">
        <v>0.22700000000000001</v>
      </c>
      <c r="D74" s="203"/>
    </row>
    <row r="75" spans="1:4">
      <c r="A75" s="20"/>
      <c r="B75" s="139" t="s">
        <v>497</v>
      </c>
      <c r="C75" s="140">
        <v>0.70899999999999996</v>
      </c>
      <c r="D75" s="203"/>
    </row>
    <row r="76" spans="1:4">
      <c r="A76" s="20"/>
      <c r="B76" s="139" t="s">
        <v>498</v>
      </c>
      <c r="C76" s="140">
        <v>0.88500000000000001</v>
      </c>
      <c r="D76" s="203"/>
    </row>
    <row r="77" spans="1:4">
      <c r="A77" s="20"/>
      <c r="B77" s="139" t="s">
        <v>499</v>
      </c>
      <c r="C77" s="140">
        <v>0.54800000000000004</v>
      </c>
      <c r="D77" s="203"/>
    </row>
    <row r="78" spans="1:4">
      <c r="A78" s="20"/>
      <c r="B78" s="139" t="s">
        <v>500</v>
      </c>
      <c r="C78" s="140">
        <v>0.41</v>
      </c>
      <c r="D78" s="203"/>
    </row>
    <row r="79" spans="1:4">
      <c r="A79" s="20"/>
      <c r="B79" s="139" t="s">
        <v>501</v>
      </c>
      <c r="C79" s="140">
        <v>0.68700000000000006</v>
      </c>
      <c r="D79" s="203"/>
    </row>
    <row r="80" spans="1:4">
      <c r="A80" s="20"/>
      <c r="B80" s="139" t="s">
        <v>502</v>
      </c>
      <c r="C80" s="140">
        <v>0.72699999999999998</v>
      </c>
      <c r="D80" s="203"/>
    </row>
    <row r="81" spans="1:4">
      <c r="A81" s="20"/>
      <c r="B81" s="139" t="s">
        <v>503</v>
      </c>
      <c r="C81" s="140">
        <v>0.872</v>
      </c>
      <c r="D81" s="203"/>
    </row>
    <row r="82" spans="1:4">
      <c r="A82" s="20"/>
      <c r="B82" s="141" t="s">
        <v>504</v>
      </c>
      <c r="C82" s="140">
        <v>0.84</v>
      </c>
      <c r="D82" s="203"/>
    </row>
    <row r="83" spans="1:4">
      <c r="A83" s="20"/>
      <c r="B83" s="141" t="s">
        <v>505</v>
      </c>
      <c r="C83" s="140">
        <v>0.57299999999999995</v>
      </c>
      <c r="D83" s="203"/>
    </row>
    <row r="84" spans="1:4">
      <c r="A84" s="20"/>
      <c r="B84" s="141" t="s">
        <v>506</v>
      </c>
      <c r="C84" s="140">
        <v>0.78</v>
      </c>
      <c r="D84" s="203"/>
    </row>
    <row r="85" spans="1:4">
      <c r="A85" s="20"/>
      <c r="B85" s="139" t="s">
        <v>507</v>
      </c>
      <c r="C85" s="140">
        <v>0.45500000000000002</v>
      </c>
      <c r="D85" s="203"/>
    </row>
    <row r="86" spans="1:4">
      <c r="A86" s="20"/>
      <c r="B86" s="139" t="s">
        <v>508</v>
      </c>
      <c r="C86" s="140">
        <v>0.58299999999999996</v>
      </c>
      <c r="D86" s="203"/>
    </row>
    <row r="87" spans="1:4">
      <c r="A87" s="20"/>
      <c r="B87" s="139" t="s">
        <v>509</v>
      </c>
      <c r="C87" s="140">
        <v>1.492</v>
      </c>
      <c r="D87" s="203"/>
    </row>
    <row r="88" spans="1:4">
      <c r="A88" s="20"/>
      <c r="B88" s="139" t="s">
        <v>510</v>
      </c>
      <c r="C88" s="140">
        <v>0.40500000000000003</v>
      </c>
      <c r="D88" s="203"/>
    </row>
    <row r="89" spans="1:4">
      <c r="A89" s="20"/>
      <c r="B89" s="139" t="s">
        <v>511</v>
      </c>
      <c r="C89" s="140">
        <v>0.71799999999999997</v>
      </c>
      <c r="D89" s="203"/>
    </row>
    <row r="90" spans="1:4">
      <c r="A90" s="20"/>
      <c r="B90" s="139" t="s">
        <v>512</v>
      </c>
      <c r="C90" s="140">
        <v>0.26200000000000001</v>
      </c>
      <c r="D90" s="203"/>
    </row>
    <row r="91" spans="1:4">
      <c r="A91" s="20"/>
      <c r="B91" s="139" t="s">
        <v>513</v>
      </c>
      <c r="C91" s="140">
        <v>0.19700000000000001</v>
      </c>
      <c r="D91" s="203"/>
    </row>
    <row r="92" spans="1:4">
      <c r="A92" s="20"/>
      <c r="B92" s="139" t="s">
        <v>514</v>
      </c>
      <c r="C92" s="140">
        <v>0.41499999999999998</v>
      </c>
      <c r="D92" s="203"/>
    </row>
    <row r="93" spans="1:4" ht="24.6">
      <c r="A93" s="20"/>
      <c r="B93" s="139" t="s">
        <v>515</v>
      </c>
      <c r="C93" s="140">
        <v>0.70699999999999996</v>
      </c>
      <c r="D93" s="203"/>
    </row>
    <row r="94" spans="1:4">
      <c r="A94" s="20"/>
      <c r="B94" s="141" t="s">
        <v>516</v>
      </c>
      <c r="C94" s="140">
        <v>0.82099999999999995</v>
      </c>
      <c r="D94" s="203"/>
    </row>
    <row r="95" spans="1:4">
      <c r="A95" s="20"/>
      <c r="B95" s="139" t="s">
        <v>517</v>
      </c>
      <c r="C95" s="140">
        <v>0.15</v>
      </c>
      <c r="D95" s="203"/>
    </row>
    <row r="96" spans="1:4">
      <c r="A96" s="20"/>
      <c r="B96" s="139" t="s">
        <v>518</v>
      </c>
      <c r="C96" s="140">
        <v>0.46</v>
      </c>
      <c r="D96" s="203"/>
    </row>
    <row r="97" spans="1:4">
      <c r="A97" s="20"/>
      <c r="B97" s="139" t="s">
        <v>519</v>
      </c>
      <c r="C97" s="140">
        <v>0.40500000000000003</v>
      </c>
      <c r="D97" s="203"/>
    </row>
    <row r="98" spans="1:4">
      <c r="A98" s="20"/>
      <c r="B98" s="139" t="s">
        <v>520</v>
      </c>
      <c r="C98" s="140">
        <v>0.46500000000000002</v>
      </c>
      <c r="D98" s="203"/>
    </row>
    <row r="99" spans="1:4">
      <c r="A99" s="20"/>
      <c r="B99" s="139" t="s">
        <v>521</v>
      </c>
      <c r="C99" s="140">
        <v>1.7000000000000001E-2</v>
      </c>
      <c r="D99" s="203"/>
    </row>
    <row r="100" spans="1:4">
      <c r="A100" s="20"/>
      <c r="B100" s="139" t="s">
        <v>522</v>
      </c>
      <c r="C100" s="140">
        <v>0.79400000000000004</v>
      </c>
      <c r="D100" s="203"/>
    </row>
    <row r="101" spans="1:4">
      <c r="A101" s="20"/>
      <c r="B101" s="139" t="s">
        <v>523</v>
      </c>
      <c r="C101" s="140">
        <v>0.42499999999999999</v>
      </c>
      <c r="D101" s="203"/>
    </row>
    <row r="102" spans="1:4">
      <c r="A102" s="20"/>
      <c r="B102" s="139" t="s">
        <v>524</v>
      </c>
      <c r="C102" s="140">
        <v>0.29799999999999999</v>
      </c>
      <c r="D102" s="203"/>
    </row>
    <row r="103" spans="1:4">
      <c r="A103" s="20"/>
      <c r="B103" s="139" t="s">
        <v>525</v>
      </c>
      <c r="C103" s="140">
        <v>0</v>
      </c>
      <c r="D103" s="203"/>
    </row>
    <row r="104" spans="1:4">
      <c r="A104" s="20"/>
      <c r="B104" s="139" t="s">
        <v>526</v>
      </c>
      <c r="C104" s="140">
        <v>0.28899999999999998</v>
      </c>
      <c r="D104" s="203"/>
    </row>
    <row r="105" spans="1:4">
      <c r="A105" s="20"/>
      <c r="B105" s="139" t="s">
        <v>527</v>
      </c>
      <c r="C105" s="140">
        <v>0.48099999999999998</v>
      </c>
      <c r="D105" s="203"/>
    </row>
    <row r="106" spans="1:4">
      <c r="A106" s="20"/>
      <c r="B106" s="139" t="s">
        <v>528</v>
      </c>
      <c r="C106" s="140">
        <v>0.78100000000000003</v>
      </c>
      <c r="D106" s="203"/>
    </row>
    <row r="107" spans="1:4">
      <c r="A107" s="20"/>
      <c r="B107" s="139" t="s">
        <v>529</v>
      </c>
      <c r="C107" s="140">
        <v>0.255</v>
      </c>
      <c r="D107" s="203"/>
    </row>
    <row r="108" spans="1:4">
      <c r="A108" s="20"/>
      <c r="B108" s="139" t="s">
        <v>530</v>
      </c>
      <c r="C108" s="140">
        <v>0.49399999999999999</v>
      </c>
      <c r="D108" s="203"/>
    </row>
    <row r="109" spans="1:4">
      <c r="A109" s="20"/>
      <c r="B109" s="139" t="s">
        <v>531</v>
      </c>
      <c r="C109" s="140">
        <v>0.499</v>
      </c>
      <c r="D109" s="203"/>
    </row>
    <row r="110" spans="1:4">
      <c r="A110" s="20"/>
      <c r="B110" s="139" t="s">
        <v>532</v>
      </c>
      <c r="C110" s="140">
        <v>0.63900000000000001</v>
      </c>
      <c r="D110" s="203"/>
    </row>
    <row r="111" spans="1:4">
      <c r="A111" s="20"/>
      <c r="B111" s="139" t="s">
        <v>533</v>
      </c>
      <c r="C111" s="140">
        <v>0.73699999999999999</v>
      </c>
      <c r="D111" s="203"/>
    </row>
    <row r="112" spans="1:4">
      <c r="A112" s="20"/>
      <c r="B112" s="139" t="s">
        <v>534</v>
      </c>
      <c r="C112" s="140">
        <v>0.63700000000000001</v>
      </c>
      <c r="D112" s="203"/>
    </row>
    <row r="113" spans="1:4">
      <c r="A113" s="20"/>
      <c r="B113" s="139" t="s">
        <v>535</v>
      </c>
      <c r="C113" s="140">
        <v>0.72399999999999998</v>
      </c>
      <c r="D113" s="203"/>
    </row>
    <row r="114" spans="1:4">
      <c r="A114" s="20"/>
      <c r="B114" s="139" t="s">
        <v>536</v>
      </c>
      <c r="C114" s="140">
        <v>0.499</v>
      </c>
      <c r="D114" s="203"/>
    </row>
    <row r="115" spans="1:4">
      <c r="A115" s="20"/>
      <c r="B115" s="139" t="s">
        <v>537</v>
      </c>
      <c r="C115" s="140">
        <v>0.19700000000000001</v>
      </c>
      <c r="D115" s="203"/>
    </row>
    <row r="116" spans="1:4">
      <c r="A116" s="20"/>
      <c r="B116" s="139" t="s">
        <v>538</v>
      </c>
      <c r="C116" s="140">
        <v>0.32500000000000001</v>
      </c>
      <c r="D116" s="203"/>
    </row>
    <row r="117" spans="1:4">
      <c r="A117" s="20"/>
      <c r="B117" s="139" t="s">
        <v>539</v>
      </c>
      <c r="C117" s="140">
        <v>0.92700000000000005</v>
      </c>
      <c r="D117" s="203"/>
    </row>
    <row r="118" spans="1:4">
      <c r="A118" s="20"/>
      <c r="B118" s="139" t="s">
        <v>540</v>
      </c>
      <c r="C118" s="140">
        <v>0.53300000000000003</v>
      </c>
      <c r="D118" s="203"/>
    </row>
    <row r="119" spans="1:4">
      <c r="A119" s="20"/>
      <c r="B119" s="139" t="s">
        <v>541</v>
      </c>
      <c r="C119" s="140">
        <v>0.23799999999999999</v>
      </c>
      <c r="D119" s="203"/>
    </row>
    <row r="120" spans="1:4">
      <c r="A120" s="20"/>
      <c r="B120" s="139" t="s">
        <v>542</v>
      </c>
      <c r="C120" s="140">
        <v>0.379</v>
      </c>
      <c r="D120" s="203"/>
    </row>
    <row r="121" spans="1:4">
      <c r="A121" s="20"/>
      <c r="B121" s="139" t="s">
        <v>543</v>
      </c>
      <c r="C121" s="140">
        <v>0.34399999999999997</v>
      </c>
      <c r="D121" s="203"/>
    </row>
    <row r="122" spans="1:4">
      <c r="A122" s="20"/>
      <c r="B122" s="139" t="s">
        <v>544</v>
      </c>
      <c r="C122" s="140">
        <v>0.03</v>
      </c>
      <c r="D122" s="203"/>
    </row>
    <row r="123" spans="1:4">
      <c r="A123" s="20"/>
      <c r="B123" s="139" t="s">
        <v>545</v>
      </c>
      <c r="C123" s="140">
        <v>2.7E-2</v>
      </c>
      <c r="D123" s="203"/>
    </row>
    <row r="124" spans="1:4">
      <c r="A124" s="20"/>
      <c r="B124" s="139" t="s">
        <v>546</v>
      </c>
      <c r="C124" s="140">
        <v>0.59399999999999997</v>
      </c>
      <c r="D124" s="203"/>
    </row>
    <row r="125" spans="1:4">
      <c r="A125" s="20"/>
      <c r="B125" s="139" t="s">
        <v>547</v>
      </c>
      <c r="C125" s="140">
        <v>0.76800000000000002</v>
      </c>
      <c r="D125" s="203"/>
    </row>
    <row r="126" spans="1:4">
      <c r="A126" s="20"/>
      <c r="B126" s="139" t="s">
        <v>548</v>
      </c>
      <c r="C126" s="140">
        <v>2.4E-2</v>
      </c>
      <c r="D126" s="203"/>
    </row>
    <row r="127" spans="1:4" ht="24.6">
      <c r="A127" s="20"/>
      <c r="B127" s="139" t="s">
        <v>549</v>
      </c>
      <c r="C127" s="140">
        <v>0.32900000000000001</v>
      </c>
      <c r="D127" s="203"/>
    </row>
    <row r="128" spans="1:4">
      <c r="A128" s="20"/>
      <c r="B128" s="139" t="s">
        <v>550</v>
      </c>
      <c r="C128" s="140">
        <v>0.51300000000000001</v>
      </c>
      <c r="D128" s="203"/>
    </row>
    <row r="129" spans="1:4">
      <c r="A129" s="20"/>
      <c r="B129" s="139" t="s">
        <v>551</v>
      </c>
      <c r="C129" s="140">
        <v>0.19500000000000001</v>
      </c>
      <c r="D129" s="203"/>
    </row>
    <row r="130" spans="1:4" ht="24.6">
      <c r="A130" s="20"/>
      <c r="B130" s="139" t="s">
        <v>552</v>
      </c>
      <c r="C130" s="140">
        <v>0.7</v>
      </c>
      <c r="D130" s="203"/>
    </row>
    <row r="131" spans="1:4">
      <c r="A131" s="20"/>
      <c r="B131" s="139" t="s">
        <v>553</v>
      </c>
      <c r="C131" s="140">
        <v>0.46300000000000002</v>
      </c>
      <c r="D131" s="203"/>
    </row>
    <row r="132" spans="1:4">
      <c r="A132" s="20"/>
      <c r="B132" s="139" t="s">
        <v>554</v>
      </c>
      <c r="C132" s="140">
        <v>0.46</v>
      </c>
      <c r="D132" s="203"/>
    </row>
    <row r="133" spans="1:4">
      <c r="A133" s="20"/>
      <c r="B133" s="139" t="s">
        <v>555</v>
      </c>
      <c r="C133" s="140">
        <v>1.8979999999999999</v>
      </c>
      <c r="D133" s="203"/>
    </row>
    <row r="134" spans="1:4">
      <c r="A134" s="20"/>
      <c r="B134" s="139" t="s">
        <v>556</v>
      </c>
      <c r="C134" s="140">
        <v>0.41899999999999998</v>
      </c>
      <c r="D134" s="203"/>
    </row>
    <row r="135" spans="1:4" ht="24.6">
      <c r="A135" s="20"/>
      <c r="B135" s="139" t="s">
        <v>557</v>
      </c>
      <c r="C135" s="140">
        <v>0.59799999999999998</v>
      </c>
      <c r="D135" s="203"/>
    </row>
    <row r="136" spans="1:4">
      <c r="A136" s="20"/>
      <c r="B136" s="139" t="s">
        <v>558</v>
      </c>
      <c r="C136" s="140">
        <v>0.45700000000000002</v>
      </c>
      <c r="D136" s="203"/>
    </row>
    <row r="137" spans="1:4">
      <c r="A137" s="20"/>
      <c r="B137" s="139" t="s">
        <v>559</v>
      </c>
      <c r="C137" s="140">
        <v>0.52200000000000002</v>
      </c>
      <c r="D137" s="203"/>
    </row>
    <row r="138" spans="1:4">
      <c r="A138" s="20"/>
      <c r="B138" s="139" t="s">
        <v>560</v>
      </c>
      <c r="C138" s="140">
        <v>8.1000000000000003E-2</v>
      </c>
      <c r="D138" s="203"/>
    </row>
    <row r="139" spans="1:4">
      <c r="A139" s="20"/>
      <c r="B139" s="139" t="s">
        <v>561</v>
      </c>
      <c r="C139" s="140">
        <v>0.73399999999999999</v>
      </c>
      <c r="D139" s="203"/>
    </row>
    <row r="140" spans="1:4" ht="36.6">
      <c r="A140" s="20"/>
      <c r="B140" s="139" t="s">
        <v>562</v>
      </c>
      <c r="C140" s="140">
        <v>0.26400000000000001</v>
      </c>
      <c r="D140" s="203"/>
    </row>
    <row r="141" spans="1:4">
      <c r="A141" s="20"/>
      <c r="B141" s="139" t="s">
        <v>563</v>
      </c>
      <c r="C141" s="140">
        <v>0.432</v>
      </c>
      <c r="D141" s="203"/>
    </row>
    <row r="142" spans="1:4">
      <c r="A142" s="20"/>
      <c r="B142" s="139" t="s">
        <v>564</v>
      </c>
      <c r="C142" s="140">
        <v>0.48099999999999998</v>
      </c>
      <c r="D142" s="203"/>
    </row>
    <row r="143" spans="1:4">
      <c r="A143" s="20"/>
      <c r="B143" s="139" t="s">
        <v>565</v>
      </c>
      <c r="C143" s="140">
        <v>0.65500000000000003</v>
      </c>
      <c r="D143" s="203"/>
    </row>
    <row r="144" spans="1:4">
      <c r="A144" s="20"/>
      <c r="B144" s="141" t="s">
        <v>566</v>
      </c>
      <c r="C144" s="140">
        <v>0.66</v>
      </c>
      <c r="D144" s="203"/>
    </row>
    <row r="145" spans="3:3" hidden="1">
      <c r="C145">
        <v>1</v>
      </c>
    </row>
    <row r="146" spans="3:3" hidden="1">
      <c r="C146">
        <v>2</v>
      </c>
    </row>
    <row r="147" spans="3:3" hidden="1">
      <c r="C147">
        <v>3</v>
      </c>
    </row>
    <row r="148" spans="3:3" hidden="1">
      <c r="C148">
        <v>4</v>
      </c>
    </row>
    <row r="149" spans="3:3" hidden="1">
      <c r="C149">
        <v>5</v>
      </c>
    </row>
    <row r="150" spans="3:3" hidden="1">
      <c r="C150">
        <v>6</v>
      </c>
    </row>
    <row r="151" spans="3:3" hidden="1">
      <c r="C151">
        <v>7</v>
      </c>
    </row>
    <row r="152" spans="3:3" hidden="1">
      <c r="C152">
        <v>8</v>
      </c>
    </row>
    <row r="153" spans="3:3" hidden="1">
      <c r="C153">
        <v>9</v>
      </c>
    </row>
    <row r="154" spans="3:3" hidden="1">
      <c r="C154">
        <v>10</v>
      </c>
    </row>
  </sheetData>
  <phoneticPr fontId="13" type="noConversion"/>
  <hyperlinks>
    <hyperlink ref="B2" r:id="rId1" display="https://www.bilans-ges.ademe.fr/documentation/UPLOAD_DOC_FR/index.htm?moyenne_par_pays.htm" xr:uid="{054BE269-2302-4BB5-802A-0B17BB03FFCE}"/>
  </hyperlinks>
  <pageMargins left="0.7" right="0.7" top="0.75" bottom="0.75" header="0.3" footer="0.3"/>
  <pageSetup paperSize="9" orientation="portrait" r:id="rId2"/>
  <tableParts count="1">
    <tablePart r:id="rId3"/>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3D2FC-D208-4379-9F43-567D985C1874}">
  <sheetPr>
    <tabColor theme="8"/>
  </sheetPr>
  <dimension ref="B2:V137"/>
  <sheetViews>
    <sheetView showGridLines="0" topLeftCell="A65" zoomScale="55" zoomScaleNormal="55" workbookViewId="0">
      <selection activeCell="A91" sqref="A91:XFD91"/>
    </sheetView>
  </sheetViews>
  <sheetFormatPr defaultColWidth="11.42578125" defaultRowHeight="14.45"/>
  <cols>
    <col min="1" max="1" width="11.42578125" style="3" customWidth="1"/>
    <col min="2" max="2" width="12.140625" style="3" customWidth="1"/>
    <col min="3" max="3" width="96" style="5" customWidth="1"/>
    <col min="4" max="4" width="54" style="3" customWidth="1"/>
    <col min="5" max="5" width="44.85546875" style="5" customWidth="1"/>
    <col min="6" max="6" width="50.140625" style="5" customWidth="1"/>
    <col min="7" max="7" width="26.42578125" style="3" customWidth="1"/>
    <col min="8" max="8" width="61.85546875" style="3" customWidth="1"/>
    <col min="9" max="9" width="67.85546875" style="3" customWidth="1"/>
    <col min="10" max="10" width="71.85546875" style="3" customWidth="1"/>
    <col min="11" max="11" width="57.140625" style="3" customWidth="1"/>
    <col min="12" max="12" width="35.42578125" style="3" customWidth="1"/>
    <col min="13" max="13" width="47.140625" style="3" customWidth="1"/>
    <col min="14" max="14" width="22.42578125" style="3" customWidth="1"/>
    <col min="15" max="15" width="28.5703125" style="3" customWidth="1"/>
    <col min="16" max="16" width="30.85546875" style="3" customWidth="1"/>
    <col min="17" max="17" width="11.42578125" style="3"/>
    <col min="18" max="18" width="21.42578125" style="3" customWidth="1"/>
    <col min="19" max="19" width="27.85546875" style="3" customWidth="1"/>
    <col min="20" max="16384" width="11.42578125" style="3"/>
  </cols>
  <sheetData>
    <row r="2" spans="2:12" ht="14.85" customHeight="1">
      <c r="B2" s="327" t="s">
        <v>567</v>
      </c>
      <c r="C2" s="327"/>
      <c r="D2" s="327"/>
      <c r="E2" s="327"/>
      <c r="F2" s="327"/>
      <c r="G2" s="327"/>
      <c r="H2" s="327"/>
      <c r="I2" s="327"/>
      <c r="J2" s="327"/>
      <c r="K2" s="327"/>
    </row>
    <row r="3" spans="2:12" ht="14.1" customHeight="1">
      <c r="B3" s="327"/>
      <c r="C3" s="327"/>
      <c r="D3" s="327"/>
      <c r="E3" s="327"/>
      <c r="F3" s="327"/>
      <c r="G3" s="327"/>
      <c r="H3" s="327"/>
      <c r="I3" s="327"/>
      <c r="J3" s="327"/>
      <c r="K3" s="327"/>
    </row>
    <row r="4" spans="2:12" ht="14.85" customHeight="1"/>
    <row r="5" spans="2:12">
      <c r="L5"/>
    </row>
    <row r="6" spans="2:12">
      <c r="C6" s="74" t="s">
        <v>568</v>
      </c>
      <c r="D6" s="75"/>
      <c r="E6" s="75"/>
      <c r="F6" s="75"/>
      <c r="G6" s="75"/>
      <c r="H6" s="75"/>
      <c r="I6" s="75"/>
      <c r="J6" s="75"/>
      <c r="K6" s="75"/>
      <c r="L6"/>
    </row>
    <row r="7" spans="2:12">
      <c r="C7" s="7" t="s">
        <v>569</v>
      </c>
      <c r="D7" s="7" t="s">
        <v>430</v>
      </c>
      <c r="E7" s="7" t="s">
        <v>570</v>
      </c>
      <c r="F7" s="7" t="s">
        <v>571</v>
      </c>
      <c r="G7" s="7" t="s">
        <v>572</v>
      </c>
      <c r="H7" s="7" t="s">
        <v>573</v>
      </c>
      <c r="I7" s="7" t="s">
        <v>324</v>
      </c>
      <c r="J7" s="7" t="s">
        <v>574</v>
      </c>
      <c r="K7" s="7" t="s">
        <v>575</v>
      </c>
      <c r="L7"/>
    </row>
    <row r="8" spans="2:12">
      <c r="C8" s="41" t="str">
        <f>IF('3.2 Emission Factors'!$D8&lt;&gt;"",""&amp;$C$6&amp;IF('3.2 Emission Factors'!$E8&lt;&gt;"",""&amp;" - "&amp;'3.2 Emission Factors'!$E8,"")&amp;" - "&amp;'3.2 Emission Factors'!$D8,"")</f>
        <v>Workstation - Laptop any screen size - ADEME 2023, Base carbone</v>
      </c>
      <c r="D8" s="8" t="s">
        <v>576</v>
      </c>
      <c r="E8" s="41" t="s">
        <v>577</v>
      </c>
      <c r="F8" s="42">
        <v>5</v>
      </c>
      <c r="G8" s="12">
        <v>170.3</v>
      </c>
      <c r="H8" s="12">
        <v>29.1</v>
      </c>
      <c r="I8" s="8" t="s">
        <v>578</v>
      </c>
      <c r="J8" s="220" t="s">
        <v>579</v>
      </c>
      <c r="K8" s="8"/>
      <c r="L8"/>
    </row>
    <row r="9" spans="2:12">
      <c r="C9" s="5" t="str">
        <f>IF('3.2 Emission Factors'!$D9&lt;&gt;"",""&amp;$C$6&amp;IF('3.2 Emission Factors'!$E9&lt;&gt;"",""&amp;" - "&amp;'3.2 Emission Factors'!$E9,"")&amp;" - "&amp;'3.2 Emission Factors'!$D9,"")</f>
        <v>Workstation - Computer central unit alone - ADEME 2023, Base carbone</v>
      </c>
      <c r="D9" s="3" t="s">
        <v>576</v>
      </c>
      <c r="E9" s="13" t="s">
        <v>580</v>
      </c>
      <c r="F9" s="44">
        <v>6</v>
      </c>
      <c r="G9" s="1">
        <v>202.57769999999999</v>
      </c>
      <c r="H9" s="1">
        <v>151</v>
      </c>
      <c r="I9" s="3" t="s">
        <v>581</v>
      </c>
      <c r="J9" s="17" t="s">
        <v>579</v>
      </c>
      <c r="L9"/>
    </row>
    <row r="10" spans="2:12">
      <c r="F10" s="44"/>
      <c r="G10" s="1"/>
      <c r="H10" s="1"/>
      <c r="L10"/>
    </row>
    <row r="11" spans="2:12">
      <c r="F11" s="44"/>
      <c r="G11" s="1"/>
      <c r="H11" s="1"/>
      <c r="L11"/>
    </row>
    <row r="12" spans="2:12">
      <c r="C12" s="74" t="s">
        <v>582</v>
      </c>
      <c r="D12" s="75"/>
      <c r="E12" s="75"/>
      <c r="F12" s="75"/>
      <c r="G12" s="75"/>
      <c r="H12" s="75"/>
      <c r="I12" s="75"/>
      <c r="J12" s="75"/>
      <c r="K12" s="75"/>
      <c r="L12"/>
    </row>
    <row r="13" spans="2:12">
      <c r="C13" s="7" t="s">
        <v>569</v>
      </c>
      <c r="D13" s="7" t="s">
        <v>430</v>
      </c>
      <c r="E13" s="7" t="s">
        <v>570</v>
      </c>
      <c r="F13" s="7" t="s">
        <v>583</v>
      </c>
      <c r="G13" s="7" t="s">
        <v>572</v>
      </c>
      <c r="H13" s="7" t="s">
        <v>573</v>
      </c>
      <c r="I13" s="7" t="s">
        <v>324</v>
      </c>
      <c r="J13" s="7" t="s">
        <v>574</v>
      </c>
      <c r="K13" s="7" t="s">
        <v>575</v>
      </c>
      <c r="L13"/>
    </row>
    <row r="14" spans="2:12" ht="29.1">
      <c r="C14" s="41" t="str">
        <f>_xlfn.CONCAT(C12," - ", D14," - ",E14)</f>
        <v>VDIs - Wavestone study based on ADEME/Negaoctet database - VDI underlying server (8 vCPU, 32 GB dedicated RAM) and network</v>
      </c>
      <c r="D14" s="8" t="s">
        <v>584</v>
      </c>
      <c r="E14" s="41" t="s">
        <v>585</v>
      </c>
      <c r="F14" s="42"/>
      <c r="G14" s="10">
        <v>127.73183243741441</v>
      </c>
      <c r="H14" s="10">
        <v>26.895045041723733</v>
      </c>
      <c r="I14" s="8"/>
      <c r="J14" s="11"/>
      <c r="K14" s="8"/>
      <c r="L14"/>
    </row>
    <row r="15" spans="2:12">
      <c r="F15" s="44"/>
      <c r="G15" s="1"/>
      <c r="H15" s="1"/>
      <c r="L15"/>
    </row>
    <row r="16" spans="2:12">
      <c r="L16"/>
    </row>
    <row r="17" spans="3:12">
      <c r="L17"/>
    </row>
    <row r="18" spans="3:12">
      <c r="L18"/>
    </row>
    <row r="19" spans="3:12">
      <c r="L19"/>
    </row>
    <row r="20" spans="3:12">
      <c r="C20" s="74" t="s">
        <v>586</v>
      </c>
      <c r="D20" s="75"/>
      <c r="E20" s="75"/>
      <c r="F20" s="75"/>
      <c r="G20" s="75"/>
      <c r="H20" s="75"/>
      <c r="I20" s="75"/>
      <c r="J20" s="75"/>
      <c r="K20" s="75"/>
      <c r="L20"/>
    </row>
    <row r="21" spans="3:12">
      <c r="C21" s="7" t="s">
        <v>569</v>
      </c>
      <c r="D21" s="7" t="s">
        <v>430</v>
      </c>
      <c r="E21" s="7" t="s">
        <v>570</v>
      </c>
      <c r="F21" s="7" t="s">
        <v>571</v>
      </c>
      <c r="G21" s="7" t="s">
        <v>572</v>
      </c>
      <c r="H21" s="7" t="s">
        <v>573</v>
      </c>
      <c r="I21" s="7" t="s">
        <v>324</v>
      </c>
      <c r="J21" s="7" t="s">
        <v>574</v>
      </c>
      <c r="K21" s="7" t="s">
        <v>575</v>
      </c>
      <c r="L21"/>
    </row>
    <row r="22" spans="3:12">
      <c r="C22" s="41" t="str">
        <f>IF('3.2 Emission Factors'!$D22&lt;&gt;"",""&amp;$C$20&amp;IF('3.2 Emission Factors'!$E22&lt;&gt;"",""&amp;" - "&amp;'3.2 Emission Factors'!$E22,"")&amp;" - "&amp;'3.2 Emission Factors'!$D22,"")</f>
        <v>Tablets - Tablets - ADEME 2023, Base carbone</v>
      </c>
      <c r="D22" s="8" t="s">
        <v>576</v>
      </c>
      <c r="E22" s="41" t="s">
        <v>586</v>
      </c>
      <c r="F22" s="42">
        <v>3</v>
      </c>
      <c r="G22" s="12">
        <v>80.539063745216097</v>
      </c>
      <c r="H22" s="9">
        <v>18.600000000000001</v>
      </c>
      <c r="I22" s="8" t="s">
        <v>587</v>
      </c>
      <c r="J22" s="220" t="s">
        <v>579</v>
      </c>
      <c r="K22" s="8"/>
      <c r="L22"/>
    </row>
    <row r="23" spans="3:12">
      <c r="F23" s="44"/>
      <c r="G23" s="1"/>
      <c r="H23" s="1"/>
      <c r="J23" s="36"/>
      <c r="L23"/>
    </row>
    <row r="24" spans="3:12">
      <c r="L24"/>
    </row>
    <row r="25" spans="3:12">
      <c r="C25" s="74" t="s">
        <v>588</v>
      </c>
      <c r="D25" s="75"/>
      <c r="E25" s="75"/>
      <c r="F25" s="75"/>
      <c r="G25" s="75"/>
      <c r="H25" s="75"/>
      <c r="I25" s="75"/>
      <c r="J25" s="75"/>
      <c r="K25" s="75"/>
      <c r="L25"/>
    </row>
    <row r="26" spans="3:12">
      <c r="C26" s="7" t="s">
        <v>569</v>
      </c>
      <c r="D26" s="7" t="s">
        <v>430</v>
      </c>
      <c r="E26" s="7" t="s">
        <v>570</v>
      </c>
      <c r="F26" s="7" t="s">
        <v>571</v>
      </c>
      <c r="G26" s="7" t="s">
        <v>572</v>
      </c>
      <c r="H26" s="7" t="s">
        <v>573</v>
      </c>
      <c r="I26" s="7" t="s">
        <v>324</v>
      </c>
      <c r="J26" s="7" t="s">
        <v>574</v>
      </c>
      <c r="K26" s="7" t="s">
        <v>575</v>
      </c>
      <c r="L26"/>
    </row>
    <row r="27" spans="3:12">
      <c r="C27" s="41" t="str">
        <f>IF('3.2 Emission Factors'!$D27&lt;&gt;"",""&amp;$C$25&amp;IF('3.2 Emission Factors'!$E27&lt;&gt;"",""&amp;" - "&amp;'3.2 Emission Factors'!$E27,"")&amp;" - "&amp;'3.2 Emission Factors'!$D27,"")</f>
        <v>Phones - Smartphones   - ADEME 2023, Base carbone</v>
      </c>
      <c r="D27" s="8" t="s">
        <v>576</v>
      </c>
      <c r="E27" s="41" t="s">
        <v>589</v>
      </c>
      <c r="F27" s="42">
        <v>2.5</v>
      </c>
      <c r="G27" s="12">
        <v>77.033333333333303</v>
      </c>
      <c r="H27" s="12">
        <v>3.9</v>
      </c>
      <c r="I27" s="8" t="s">
        <v>590</v>
      </c>
      <c r="J27" s="220" t="s">
        <v>579</v>
      </c>
      <c r="K27" s="8"/>
      <c r="L27"/>
    </row>
    <row r="28" spans="3:12">
      <c r="C28" s="5" t="str">
        <f>IF('3.2 Emission Factors'!$D28&lt;&gt;"",""&amp;$C$25&amp;IF('3.2 Emission Factors'!$E28&lt;&gt;"",""&amp;" - "&amp;'3.2 Emission Factors'!$E28,"")&amp;" - "&amp;'3.2 Emission Factors'!$D28,"")</f>
        <v/>
      </c>
      <c r="F28" s="44"/>
      <c r="G28" s="2"/>
      <c r="H28" s="37"/>
      <c r="J28" s="36"/>
      <c r="L28"/>
    </row>
    <row r="29" spans="3:12">
      <c r="F29" s="44"/>
      <c r="G29" s="1"/>
      <c r="H29" s="1"/>
      <c r="L29"/>
    </row>
    <row r="30" spans="3:12">
      <c r="L30"/>
    </row>
    <row r="31" spans="3:12">
      <c r="L31"/>
    </row>
    <row r="32" spans="3:12">
      <c r="C32" s="74" t="s">
        <v>591</v>
      </c>
      <c r="D32" s="75"/>
      <c r="E32" s="75"/>
      <c r="F32" s="75"/>
      <c r="G32" s="75"/>
      <c r="H32" s="75"/>
      <c r="I32" s="75"/>
      <c r="J32" s="75"/>
      <c r="K32" s="75"/>
      <c r="L32"/>
    </row>
    <row r="33" spans="2:22">
      <c r="C33" s="7" t="s">
        <v>569</v>
      </c>
      <c r="D33" s="7" t="s">
        <v>430</v>
      </c>
      <c r="E33" s="7" t="s">
        <v>570</v>
      </c>
      <c r="F33" s="7" t="s">
        <v>583</v>
      </c>
      <c r="G33" s="7" t="s">
        <v>572</v>
      </c>
      <c r="H33" s="7" t="s">
        <v>573</v>
      </c>
      <c r="I33" s="7" t="s">
        <v>324</v>
      </c>
      <c r="J33" s="7" t="s">
        <v>574</v>
      </c>
      <c r="K33" s="7" t="s">
        <v>575</v>
      </c>
      <c r="L33"/>
    </row>
    <row r="34" spans="2:22">
      <c r="C34" s="41" t="str">
        <f>IF('3.2 Emission Factors'!$D34&lt;&gt;"",""&amp;$C$32&amp;IF('3.2 Emission Factors'!$E34&lt;&gt;"",""&amp;" - "&amp;'3.2 Emission Factors'!$E34,"")&amp;" - "&amp;'3.2 Emission Factors'!$D34,"")</f>
        <v>Office monitors - All screen sizes - ADEME 2023, Base carbone</v>
      </c>
      <c r="D34" s="8" t="s">
        <v>576</v>
      </c>
      <c r="E34" s="39" t="s">
        <v>592</v>
      </c>
      <c r="F34" s="42"/>
      <c r="G34" s="10">
        <v>64.599999999999994</v>
      </c>
      <c r="H34" s="10">
        <v>70</v>
      </c>
      <c r="I34" s="8" t="s">
        <v>593</v>
      </c>
      <c r="J34" s="220" t="s">
        <v>579</v>
      </c>
      <c r="K34" s="8"/>
      <c r="L34"/>
    </row>
    <row r="35" spans="2:22">
      <c r="F35" s="44"/>
      <c r="G35" s="1"/>
      <c r="H35" s="1"/>
      <c r="J35" s="36"/>
      <c r="L35"/>
    </row>
    <row r="36" spans="2:22">
      <c r="L36"/>
    </row>
    <row r="37" spans="2:22">
      <c r="L37"/>
    </row>
    <row r="38" spans="2:22">
      <c r="L38"/>
    </row>
    <row r="39" spans="2:22">
      <c r="B39" s="326" t="s">
        <v>594</v>
      </c>
      <c r="C39" s="326"/>
      <c r="D39" s="326"/>
      <c r="E39" s="326"/>
      <c r="F39" s="326"/>
      <c r="G39" s="326"/>
      <c r="H39" s="326"/>
      <c r="I39" s="326"/>
      <c r="J39" s="326"/>
      <c r="K39" s="326"/>
      <c r="L39" s="326"/>
      <c r="M39" s="326"/>
      <c r="N39" s="326"/>
      <c r="O39" s="326"/>
      <c r="P39" s="326"/>
      <c r="Q39" s="326"/>
      <c r="R39" s="326"/>
    </row>
    <row r="40" spans="2:22" ht="14.85" customHeight="1">
      <c r="B40" s="326"/>
      <c r="C40" s="326"/>
      <c r="D40" s="326"/>
      <c r="E40" s="326"/>
      <c r="F40" s="326"/>
      <c r="G40" s="326"/>
      <c r="H40" s="326"/>
      <c r="I40" s="326"/>
      <c r="J40" s="326"/>
      <c r="K40" s="326"/>
      <c r="L40" s="326"/>
      <c r="M40" s="326"/>
      <c r="N40" s="326"/>
      <c r="O40" s="326"/>
      <c r="P40" s="326"/>
      <c r="Q40" s="326"/>
      <c r="R40" s="326"/>
    </row>
    <row r="41" spans="2:22" ht="14.85" customHeight="1">
      <c r="B41" s="326"/>
      <c r="C41" s="326"/>
      <c r="D41" s="326"/>
      <c r="E41" s="326"/>
      <c r="F41" s="326"/>
      <c r="G41" s="326"/>
      <c r="H41" s="326"/>
      <c r="I41" s="326"/>
      <c r="J41" s="326"/>
      <c r="K41" s="326"/>
      <c r="L41" s="326"/>
      <c r="M41" s="326"/>
      <c r="N41" s="326"/>
      <c r="O41" s="326"/>
      <c r="P41" s="326"/>
      <c r="Q41" s="326"/>
      <c r="R41" s="326"/>
    </row>
    <row r="44" spans="2:22">
      <c r="C44" s="74" t="s">
        <v>595</v>
      </c>
      <c r="D44" s="75"/>
      <c r="E44" s="75"/>
      <c r="F44" s="75"/>
      <c r="G44" s="75"/>
      <c r="H44" s="75"/>
      <c r="I44" s="75"/>
      <c r="J44" s="75"/>
      <c r="K44" s="75"/>
      <c r="L44" s="75"/>
      <c r="M44" s="75"/>
      <c r="N44" s="75"/>
      <c r="O44" s="75"/>
      <c r="P44" s="75"/>
      <c r="Q44" s="75"/>
      <c r="R44" s="75"/>
      <c r="S44"/>
    </row>
    <row r="45" spans="2:22" s="5" customFormat="1" ht="29.1">
      <c r="C45" s="7" t="s">
        <v>569</v>
      </c>
      <c r="D45" s="7" t="s">
        <v>430</v>
      </c>
      <c r="E45" s="7" t="s">
        <v>596</v>
      </c>
      <c r="F45" s="7" t="s">
        <v>597</v>
      </c>
      <c r="G45" s="7" t="s">
        <v>598</v>
      </c>
      <c r="H45" s="7" t="s">
        <v>599</v>
      </c>
      <c r="I45" s="7" t="s">
        <v>600</v>
      </c>
      <c r="J45" s="7" t="s">
        <v>601</v>
      </c>
      <c r="K45" s="7" t="s">
        <v>583</v>
      </c>
      <c r="L45" s="7" t="s">
        <v>573</v>
      </c>
      <c r="M45" s="7" t="s">
        <v>602</v>
      </c>
      <c r="N45" s="7" t="s">
        <v>603</v>
      </c>
      <c r="O45" s="7" t="s">
        <v>604</v>
      </c>
      <c r="P45" s="7" t="s">
        <v>324</v>
      </c>
      <c r="Q45" s="7" t="s">
        <v>574</v>
      </c>
      <c r="R45" s="7" t="s">
        <v>575</v>
      </c>
      <c r="T45" s="328" t="s">
        <v>605</v>
      </c>
      <c r="U45" s="328"/>
      <c r="V45" s="328"/>
    </row>
    <row r="46" spans="2:22">
      <c r="C46" s="41" t="str">
        <f>IF('3.2 Emission Factors'!$D46&lt;&gt;"",""&amp;$C$44&amp;IF('3.2 Emission Factors'!$E46&lt;&gt;"",""&amp;" - "&amp;'3.2 Emission Factors'!$E46,"")&amp;" - "&amp;'3.2 Emission Factors'!$D46,"")</f>
        <v>Servers - Server - ADEME 2020, Base carbone</v>
      </c>
      <c r="D46" s="8" t="s">
        <v>606</v>
      </c>
      <c r="E46" s="41" t="s">
        <v>607</v>
      </c>
      <c r="F46" s="42" t="s">
        <v>608</v>
      </c>
      <c r="G46" s="8"/>
      <c r="H46" s="9" t="s">
        <v>608</v>
      </c>
      <c r="I46" s="8"/>
      <c r="J46" s="9" t="s">
        <v>608</v>
      </c>
      <c r="K46" s="9">
        <v>600</v>
      </c>
      <c r="L46" s="10"/>
      <c r="M46" s="8"/>
      <c r="N46" s="8"/>
      <c r="O46" s="8"/>
      <c r="P46" s="8"/>
      <c r="Q46" s="8"/>
      <c r="R46" s="8"/>
      <c r="T46" t="s">
        <v>609</v>
      </c>
      <c r="U46" t="s">
        <v>610</v>
      </c>
      <c r="V46" t="s">
        <v>611</v>
      </c>
    </row>
    <row r="47" spans="2:22">
      <c r="C47" s="5" t="str">
        <f>IF('3.2 Emission Factors'!$D47&lt;&gt;"",""&amp;$C$44&amp;IF('3.2 Emission Factors'!$E47&lt;&gt;"",""&amp;" - "&amp;'3.2 Emission Factors'!$E47,"")&amp;" - "&amp;'3.2 Emission Factors'!$D47,"")</f>
        <v>Servers - Server - Boavizta / ADEME 2012 Study</v>
      </c>
      <c r="D47" s="3" t="s">
        <v>612</v>
      </c>
      <c r="E47" s="5" t="s">
        <v>607</v>
      </c>
      <c r="F47" s="44">
        <v>1000</v>
      </c>
      <c r="H47" s="1">
        <v>3</v>
      </c>
      <c r="J47" s="1">
        <v>150</v>
      </c>
      <c r="K47" s="1"/>
      <c r="L47" s="2">
        <v>1476.751</v>
      </c>
      <c r="N47" s="3">
        <v>31.1</v>
      </c>
      <c r="O47" s="3">
        <v>0.05</v>
      </c>
      <c r="P47" s="3" t="s">
        <v>613</v>
      </c>
      <c r="Q47" s="73" t="s">
        <v>614</v>
      </c>
      <c r="T47">
        <v>256</v>
      </c>
      <c r="U47">
        <v>17</v>
      </c>
      <c r="V47">
        <f>U47/T47</f>
        <v>6.640625E-2</v>
      </c>
    </row>
    <row r="48" spans="2:22">
      <c r="C48" s="41" t="str">
        <f>IF('3.2 Emission Factors'!$D48&lt;&gt;"",""&amp;$C$44&amp;IF('3.2 Emission Factors'!$E48&lt;&gt;"",""&amp;" - "&amp;'3.2 Emission Factors'!$E48,"")&amp;" - "&amp;'3.2 Emission Factors'!$D48,"")</f>
        <v>Servers - Storage - ADEME 2012, Sector guide</v>
      </c>
      <c r="D48" s="8" t="s">
        <v>615</v>
      </c>
      <c r="E48" s="41" t="s">
        <v>616</v>
      </c>
      <c r="F48" s="42" t="s">
        <v>608</v>
      </c>
      <c r="G48" s="8"/>
      <c r="H48" s="9" t="s">
        <v>608</v>
      </c>
      <c r="I48" s="8"/>
      <c r="J48" s="9" t="s">
        <v>608</v>
      </c>
      <c r="K48" s="9">
        <v>15.5</v>
      </c>
      <c r="L48" s="9"/>
      <c r="M48" s="8"/>
      <c r="N48" s="8"/>
      <c r="O48" s="8"/>
      <c r="P48" s="8"/>
      <c r="Q48" s="8"/>
      <c r="T48">
        <v>512</v>
      </c>
      <c r="U48">
        <v>27</v>
      </c>
      <c r="V48">
        <f>U48/T48</f>
        <v>5.2734375E-2</v>
      </c>
    </row>
    <row r="49" spans="3:22">
      <c r="C49" s="5" t="str">
        <f>IF('3.2 Emission Factors'!$D49&lt;&gt;"",""&amp;$C$44&amp;IF('3.2 Emission Factors'!$E49&lt;&gt;"",""&amp;" - "&amp;'3.2 Emission Factors'!$E49,"")&amp;" - "&amp;'3.2 Emission Factors'!$D49,"")</f>
        <v>Servers - Server - HPE SY 480 Gen10</v>
      </c>
      <c r="D49" s="3" t="s">
        <v>617</v>
      </c>
      <c r="E49" s="5" t="s">
        <v>607</v>
      </c>
      <c r="F49" s="46">
        <v>1158</v>
      </c>
      <c r="G49" s="1">
        <v>48</v>
      </c>
      <c r="H49" s="2">
        <f>F49/G49</f>
        <v>24.125</v>
      </c>
      <c r="I49" s="1">
        <v>1</v>
      </c>
      <c r="J49" s="2">
        <f>F49/I49</f>
        <v>1158</v>
      </c>
      <c r="K49" s="1"/>
      <c r="L49" s="2">
        <v>845.8</v>
      </c>
      <c r="M49" s="2">
        <f>L49/I49</f>
        <v>845.8</v>
      </c>
      <c r="N49" s="2"/>
      <c r="O49" s="2"/>
      <c r="Q49" s="48" t="s">
        <v>618</v>
      </c>
      <c r="R49" s="8"/>
      <c r="T49">
        <v>1024</v>
      </c>
      <c r="U49">
        <v>48</v>
      </c>
      <c r="V49">
        <f>U49/T49</f>
        <v>4.6875E-2</v>
      </c>
    </row>
    <row r="50" spans="3:22">
      <c r="C50" s="41" t="str">
        <f>IF('3.2 Emission Factors'!$D50&lt;&gt;"",""&amp;$C$44&amp;IF('3.2 Emission Factors'!$E50&lt;&gt;"",""&amp;" - "&amp;'3.2 Emission Factors'!$E50,"")&amp;" - "&amp;'3.2 Emission Factors'!$D50,"")</f>
        <v>Servers - Server - PowerEdge R740XD</v>
      </c>
      <c r="D50" s="41" t="s">
        <v>619</v>
      </c>
      <c r="E50" s="41" t="s">
        <v>607</v>
      </c>
      <c r="F50" s="47">
        <v>1321.92</v>
      </c>
      <c r="G50" s="9">
        <v>32</v>
      </c>
      <c r="H50" s="10">
        <f>F50/G50</f>
        <v>41.31</v>
      </c>
      <c r="I50" s="9">
        <v>2</v>
      </c>
      <c r="J50" s="10">
        <f>F50/I50</f>
        <v>660.96</v>
      </c>
      <c r="K50" s="9"/>
      <c r="L50" s="10">
        <v>1858.8720000000001</v>
      </c>
      <c r="M50" s="10">
        <f>L50/I50</f>
        <v>929.43600000000004</v>
      </c>
      <c r="N50" s="10"/>
      <c r="O50" s="10"/>
      <c r="P50" s="8"/>
      <c r="Q50" s="49" t="s">
        <v>618</v>
      </c>
      <c r="R50" s="8"/>
      <c r="T50">
        <v>2048</v>
      </c>
      <c r="U50">
        <v>90</v>
      </c>
      <c r="V50">
        <f>U50/T50</f>
        <v>4.39453125E-2</v>
      </c>
    </row>
    <row r="51" spans="3:22">
      <c r="C51" s="5" t="str">
        <f>IF('3.2 Emission Factors'!$D51&lt;&gt;"",""&amp;$C$44&amp;IF('3.2 Emission Factors'!$E51&lt;&gt;"",""&amp;" - "&amp;'3.2 Emission Factors'!$E51,"")&amp;" - "&amp;'3.2 Emission Factors'!$D51,"")</f>
        <v>Servers - Server - PowerEdge R640</v>
      </c>
      <c r="D51" s="3" t="s">
        <v>620</v>
      </c>
      <c r="E51" s="5" t="s">
        <v>607</v>
      </c>
      <c r="F51" s="46">
        <v>1283.18</v>
      </c>
      <c r="G51" s="1">
        <v>32</v>
      </c>
      <c r="H51" s="2">
        <f>F51/G51</f>
        <v>40.099375000000002</v>
      </c>
      <c r="I51" s="1">
        <v>2</v>
      </c>
      <c r="J51" s="2">
        <f>F51/I51</f>
        <v>641.59</v>
      </c>
      <c r="K51" s="2"/>
      <c r="L51" s="2">
        <v>1760.3</v>
      </c>
      <c r="M51" s="2">
        <f>L51/I51</f>
        <v>880.15</v>
      </c>
      <c r="N51" s="2"/>
      <c r="O51" s="2"/>
      <c r="P51" s="1"/>
      <c r="Q51" s="48" t="s">
        <v>618</v>
      </c>
      <c r="T51">
        <v>4096</v>
      </c>
      <c r="U51">
        <v>170</v>
      </c>
      <c r="V51">
        <f>U51/T51</f>
        <v>4.150390625E-2</v>
      </c>
    </row>
    <row r="52" spans="3:22">
      <c r="C52" s="41" t="str">
        <f>IF('3.2 Emission Factors'!$D52&lt;&gt;"",""&amp;$C$44&amp;IF('3.2 Emission Factors'!$E52&lt;&gt;"",""&amp;" - "&amp;'3.2 Emission Factors'!$E52,"")&amp;" - "&amp;'3.2 Emission Factors'!$D52,"")</f>
        <v>Servers - Server - PowerEdge R740</v>
      </c>
      <c r="D52" s="41" t="s">
        <v>621</v>
      </c>
      <c r="E52" s="41" t="s">
        <v>607</v>
      </c>
      <c r="F52" s="47">
        <v>1313.28</v>
      </c>
      <c r="G52" s="9">
        <v>32</v>
      </c>
      <c r="H52" s="10">
        <f>F52/G52</f>
        <v>41.04</v>
      </c>
      <c r="I52" s="9">
        <v>2</v>
      </c>
      <c r="J52" s="10">
        <f>F52/I52</f>
        <v>656.64</v>
      </c>
      <c r="K52" s="9"/>
      <c r="L52" s="10">
        <v>1760.3</v>
      </c>
      <c r="M52" s="10">
        <f>L52/I52</f>
        <v>880.15</v>
      </c>
      <c r="N52" s="10"/>
      <c r="O52" s="10"/>
      <c r="P52" s="8"/>
      <c r="Q52" s="49" t="s">
        <v>618</v>
      </c>
      <c r="R52" s="8"/>
    </row>
    <row r="53" spans="3:22">
      <c r="C53" s="5" t="str">
        <f>IF('3.2 Emission Factors'!$D53&lt;&gt;"",""&amp;$C$44&amp;IF('3.2 Emission Factors'!$E53&lt;&gt;"",""&amp;" - "&amp;'3.2 Emission Factors'!$E53,"")&amp;" - "&amp;'3.2 Emission Factors'!$D53,"")</f>
        <v>Servers - Server - Average</v>
      </c>
      <c r="D53" s="3" t="s">
        <v>622</v>
      </c>
      <c r="E53" s="5" t="s">
        <v>607</v>
      </c>
      <c r="F53" s="46">
        <f>AVERAGE(F49:F52)</f>
        <v>1269.095</v>
      </c>
      <c r="G53" s="46">
        <f t="shared" ref="G53:M53" si="0">AVERAGE(G49:G52)</f>
        <v>36</v>
      </c>
      <c r="H53" s="46">
        <f t="shared" si="0"/>
        <v>36.643593750000001</v>
      </c>
      <c r="I53" s="46">
        <f>AVERAGE(I49:I52)</f>
        <v>1.75</v>
      </c>
      <c r="J53" s="46">
        <f t="shared" si="0"/>
        <v>779.29750000000001</v>
      </c>
      <c r="K53" s="46"/>
      <c r="L53" s="46">
        <f t="shared" si="0"/>
        <v>1556.318</v>
      </c>
      <c r="M53" s="46">
        <f t="shared" si="0"/>
        <v>883.88400000000001</v>
      </c>
      <c r="N53" s="46"/>
      <c r="O53" s="46"/>
    </row>
    <row r="54" spans="3:22">
      <c r="G54" s="2"/>
      <c r="H54" s="1"/>
      <c r="I54" s="2"/>
      <c r="J54" s="1"/>
      <c r="K54" s="1"/>
      <c r="L54" s="1"/>
      <c r="M54" s="1"/>
    </row>
    <row r="56" spans="3:22">
      <c r="C56" s="325" t="s">
        <v>623</v>
      </c>
      <c r="D56" s="325"/>
      <c r="E56" s="325"/>
      <c r="F56" s="325"/>
      <c r="G56" s="325"/>
      <c r="H56" s="325"/>
      <c r="I56" s="325"/>
      <c r="J56" s="325"/>
      <c r="K56" s="325"/>
      <c r="L56"/>
    </row>
    <row r="57" spans="3:22">
      <c r="C57" s="7" t="s">
        <v>569</v>
      </c>
      <c r="D57" s="7" t="s">
        <v>430</v>
      </c>
      <c r="E57" s="7" t="s">
        <v>570</v>
      </c>
      <c r="F57" s="7" t="s">
        <v>583</v>
      </c>
      <c r="G57" s="7" t="s">
        <v>572</v>
      </c>
      <c r="H57" s="7" t="s">
        <v>573</v>
      </c>
      <c r="I57" s="7" t="s">
        <v>324</v>
      </c>
      <c r="J57" s="7" t="s">
        <v>574</v>
      </c>
      <c r="K57" s="7" t="s">
        <v>575</v>
      </c>
    </row>
    <row r="58" spans="3:22">
      <c r="C58" s="41" t="str">
        <f>_xlfn.CONCAT($C$56," - ", D58," - ",E58)</f>
        <v>Storage HDD - Boavizta / Datavizta - By unit</v>
      </c>
      <c r="D58" s="8" t="s">
        <v>624</v>
      </c>
      <c r="E58" s="41" t="s">
        <v>625</v>
      </c>
      <c r="F58" s="42">
        <v>31.1</v>
      </c>
      <c r="G58" s="10"/>
      <c r="H58" s="10"/>
      <c r="I58" s="10"/>
      <c r="J58" s="10" t="s">
        <v>614</v>
      </c>
      <c r="K58" s="8"/>
    </row>
    <row r="59" spans="3:22">
      <c r="C59" s="3" t="str">
        <f>_xlfn.CONCAT($C$56," - ", D59," - ",E59)</f>
        <v>Storage HDD - ADEME 2023, Base carbone - By unit</v>
      </c>
      <c r="D59" s="3" t="s">
        <v>576</v>
      </c>
      <c r="E59" s="13" t="s">
        <v>625</v>
      </c>
      <c r="F59" s="44"/>
      <c r="G59" s="1">
        <v>11.5</v>
      </c>
      <c r="H59" s="1">
        <v>2.8277777777777802</v>
      </c>
      <c r="I59" s="1" t="s">
        <v>626</v>
      </c>
      <c r="O59"/>
    </row>
    <row r="60" spans="3:22">
      <c r="F60" s="44"/>
      <c r="G60" s="1"/>
      <c r="H60" s="1"/>
      <c r="O60"/>
    </row>
    <row r="61" spans="3:22">
      <c r="C61" s="325" t="s">
        <v>627</v>
      </c>
      <c r="D61" s="325"/>
      <c r="E61" s="325"/>
      <c r="F61" s="325"/>
      <c r="G61" s="325"/>
      <c r="H61" s="325"/>
      <c r="I61" s="325"/>
      <c r="J61" s="325"/>
      <c r="K61" s="325"/>
      <c r="L61"/>
    </row>
    <row r="62" spans="3:22">
      <c r="C62" s="7" t="s">
        <v>569</v>
      </c>
      <c r="D62" s="7" t="s">
        <v>430</v>
      </c>
      <c r="E62" s="7" t="s">
        <v>570</v>
      </c>
      <c r="F62" s="7" t="s">
        <v>583</v>
      </c>
      <c r="G62" s="7" t="s">
        <v>572</v>
      </c>
      <c r="H62" s="7" t="s">
        <v>573</v>
      </c>
      <c r="I62" s="7" t="s">
        <v>324</v>
      </c>
      <c r="J62" s="7" t="s">
        <v>574</v>
      </c>
      <c r="K62" s="7" t="s">
        <v>575</v>
      </c>
    </row>
    <row r="63" spans="3:22">
      <c r="C63" s="41" t="str">
        <f>_xlfn.CONCAT($C$61," - ",Tableau3024[[#This Row],[Source]]," - ",Tableau3024[[#This Row],[Parameter]])</f>
        <v>Storage SSD - Boavizta / Datavizta - By GB</v>
      </c>
      <c r="D63" s="8" t="s">
        <v>624</v>
      </c>
      <c r="E63" s="41" t="s">
        <v>628</v>
      </c>
      <c r="F63" s="42">
        <v>0.05</v>
      </c>
      <c r="G63" s="10"/>
      <c r="H63" s="10"/>
      <c r="I63" s="10"/>
      <c r="J63" s="10" t="s">
        <v>614</v>
      </c>
      <c r="K63" s="8"/>
    </row>
    <row r="64" spans="3:22">
      <c r="C64" s="3" t="str">
        <f>_xlfn.CONCAT($C$61," - ",Tableau3024[[#This Row],[Source]]," - ",Tableau3024[[#This Row],[Parameter]])</f>
        <v>Storage SSD - ADEME 2023, Base carbone - By unit</v>
      </c>
      <c r="D64" s="3" t="s">
        <v>576</v>
      </c>
      <c r="E64" s="13" t="s">
        <v>625</v>
      </c>
      <c r="F64" s="44"/>
      <c r="G64" s="1">
        <v>135</v>
      </c>
      <c r="H64" s="1">
        <v>0.37</v>
      </c>
      <c r="I64" s="1" t="s">
        <v>629</v>
      </c>
      <c r="O64"/>
    </row>
    <row r="65" spans="3:15">
      <c r="F65" s="44"/>
      <c r="G65" s="1"/>
      <c r="H65" s="1"/>
      <c r="O65"/>
    </row>
    <row r="66" spans="3:15">
      <c r="C66" s="325" t="s">
        <v>630</v>
      </c>
      <c r="D66" s="325"/>
      <c r="E66" s="325"/>
      <c r="F66" s="325"/>
      <c r="G66" s="325"/>
      <c r="H66" s="325"/>
      <c r="I66" s="325"/>
      <c r="J66" s="325"/>
      <c r="K66" s="325"/>
      <c r="L66"/>
    </row>
    <row r="67" spans="3:15">
      <c r="C67" s="7" t="s">
        <v>569</v>
      </c>
      <c r="D67" s="7" t="s">
        <v>430</v>
      </c>
      <c r="E67" s="7" t="s">
        <v>570</v>
      </c>
      <c r="F67" s="7" t="s">
        <v>583</v>
      </c>
      <c r="G67" s="7" t="s">
        <v>572</v>
      </c>
      <c r="H67" s="7" t="s">
        <v>573</v>
      </c>
      <c r="I67" s="7" t="s">
        <v>324</v>
      </c>
      <c r="J67" s="7" t="s">
        <v>574</v>
      </c>
      <c r="K67" s="7" t="s">
        <v>575</v>
      </c>
    </row>
    <row r="68" spans="3:15">
      <c r="C68" s="41" t="str">
        <f>_xlfn.CONCAT(C66," - ", D68," - ",E68)</f>
        <v xml:space="preserve">Racks - ADEME 2020, Base carbone - </v>
      </c>
      <c r="D68" s="8" t="s">
        <v>606</v>
      </c>
      <c r="E68" s="41"/>
      <c r="F68" s="42"/>
      <c r="G68" s="10">
        <v>550</v>
      </c>
      <c r="H68" s="10"/>
      <c r="I68" s="8"/>
      <c r="J68" s="8"/>
      <c r="K68" s="8"/>
    </row>
    <row r="69" spans="3:15">
      <c r="C69" s="5" t="str">
        <f>IF('3.2 Emission Factors'!$D69&lt;&gt;"",""&amp;$C$6&amp;IF('3.2 Emission Factors'!$E69&lt;&gt;"",""&amp;" - "&amp;'3.2 Emission Factors'!$E69,"")&amp;" - "&amp;'3.2 Emission Factors'!$D69,"")</f>
        <v/>
      </c>
      <c r="E69" s="13"/>
      <c r="F69" s="44"/>
      <c r="G69" s="1"/>
      <c r="H69" s="1"/>
      <c r="O69"/>
    </row>
    <row r="70" spans="3:15">
      <c r="F70" s="44"/>
      <c r="G70" s="1"/>
      <c r="H70" s="1"/>
      <c r="O70"/>
    </row>
    <row r="71" spans="3:15">
      <c r="O71"/>
    </row>
    <row r="72" spans="3:15">
      <c r="C72" s="325" t="s">
        <v>194</v>
      </c>
      <c r="D72" s="325"/>
      <c r="E72" s="325"/>
      <c r="F72" s="325"/>
      <c r="G72" s="325"/>
      <c r="H72" s="325"/>
      <c r="I72" s="325"/>
      <c r="J72" s="325"/>
      <c r="K72" s="325"/>
      <c r="L72" s="325"/>
      <c r="M72" s="74"/>
      <c r="N72" s="75"/>
      <c r="O72"/>
    </row>
    <row r="73" spans="3:15">
      <c r="C73" s="7" t="s">
        <v>569</v>
      </c>
      <c r="D73" s="7" t="s">
        <v>430</v>
      </c>
      <c r="E73" s="7" t="s">
        <v>596</v>
      </c>
      <c r="F73" s="7" t="s">
        <v>583</v>
      </c>
      <c r="G73" s="7" t="s">
        <v>572</v>
      </c>
      <c r="H73" s="7" t="s">
        <v>573</v>
      </c>
      <c r="I73" s="14" t="s">
        <v>631</v>
      </c>
      <c r="J73" s="14" t="s">
        <v>632</v>
      </c>
      <c r="K73" s="14" t="s">
        <v>633</v>
      </c>
      <c r="L73" s="7" t="s">
        <v>324</v>
      </c>
      <c r="M73" s="7" t="s">
        <v>574</v>
      </c>
      <c r="N73" s="7" t="s">
        <v>575</v>
      </c>
      <c r="O73"/>
    </row>
    <row r="74" spans="3:15">
      <c r="C74" s="43" t="str">
        <f>IF('3.2 Emission Factors'!$D74&lt;&gt;"",""&amp;$C$72&amp;IF('3.2 Emission Factors'!$E74&lt;&gt;"",""&amp;" - "&amp;'3.2 Emission Factors'!$E74,"")&amp;" - "&amp;'3.2 Emission Factors'!$D74,"")</f>
        <v>Network - Firewall - ADEME 2014, Base carbone</v>
      </c>
      <c r="D74" s="4" t="s">
        <v>634</v>
      </c>
      <c r="E74" s="43" t="s">
        <v>635</v>
      </c>
      <c r="F74" s="45"/>
      <c r="G74" s="15">
        <v>80.7</v>
      </c>
      <c r="H74" s="15">
        <v>158</v>
      </c>
      <c r="I74" s="4"/>
      <c r="J74" s="4" t="s">
        <v>608</v>
      </c>
      <c r="K74" s="4" t="s">
        <v>608</v>
      </c>
      <c r="L74" s="17"/>
      <c r="M74" s="4"/>
      <c r="N74" s="4"/>
      <c r="O74"/>
    </row>
    <row r="75" spans="3:15">
      <c r="C75" s="41"/>
      <c r="D75" s="8"/>
      <c r="E75" s="41"/>
      <c r="F75" s="42"/>
      <c r="G75" s="10"/>
      <c r="H75" s="10"/>
      <c r="I75" s="8"/>
      <c r="J75" s="8"/>
      <c r="K75" s="11"/>
      <c r="L75" s="8"/>
      <c r="M75" s="8"/>
      <c r="N75" s="8"/>
      <c r="O75"/>
    </row>
    <row r="76" spans="3:15">
      <c r="C76" s="43"/>
      <c r="D76" s="4"/>
      <c r="E76" s="43"/>
      <c r="F76" s="45"/>
      <c r="G76" s="15"/>
      <c r="H76" s="16"/>
      <c r="I76" s="4"/>
      <c r="J76" s="4"/>
      <c r="K76" s="4"/>
      <c r="L76" s="17"/>
      <c r="M76" s="4"/>
      <c r="N76" s="4"/>
      <c r="O76"/>
    </row>
    <row r="77" spans="3:15">
      <c r="C77" s="325" t="s">
        <v>636</v>
      </c>
      <c r="D77" s="325"/>
      <c r="E77" s="325"/>
      <c r="F77" s="325"/>
      <c r="G77" s="325"/>
      <c r="H77" s="325"/>
      <c r="I77" s="325"/>
      <c r="J77" s="325"/>
      <c r="K77" s="325"/>
      <c r="L77" s="325"/>
      <c r="M77" s="74"/>
      <c r="N77" s="75"/>
      <c r="O77"/>
    </row>
    <row r="78" spans="3:15">
      <c r="C78" s="7" t="s">
        <v>569</v>
      </c>
      <c r="D78" s="7" t="s">
        <v>430</v>
      </c>
      <c r="E78" s="7" t="s">
        <v>596</v>
      </c>
      <c r="F78" s="7" t="s">
        <v>583</v>
      </c>
      <c r="G78" s="7" t="s">
        <v>572</v>
      </c>
      <c r="H78" s="7" t="s">
        <v>573</v>
      </c>
      <c r="I78" s="14" t="s">
        <v>631</v>
      </c>
      <c r="J78" s="14" t="s">
        <v>632</v>
      </c>
      <c r="K78" s="14" t="s">
        <v>633</v>
      </c>
      <c r="L78" s="7" t="s">
        <v>324</v>
      </c>
      <c r="M78" s="7" t="s">
        <v>574</v>
      </c>
      <c r="N78" s="7" t="s">
        <v>575</v>
      </c>
      <c r="O78"/>
    </row>
    <row r="79" spans="3:15">
      <c r="C79" s="41" t="str">
        <f>IF('3.2 Emission Factors'!$D79&lt;&gt;"",""&amp;$C$72&amp;IF('3.2 Emission Factors'!$E79&lt;&gt;"",""&amp;" - "&amp;'3.2 Emission Factors'!$E79,"")&amp;" - "&amp;'3.2 Emission Factors'!$D79,"")</f>
        <v>Network - Fixed-line network - ARCEP / ICT / IEA Study</v>
      </c>
      <c r="D79" s="8" t="s">
        <v>637</v>
      </c>
      <c r="E79" s="41" t="s">
        <v>638</v>
      </c>
      <c r="F79" s="42"/>
      <c r="G79" s="38">
        <v>9.2700000000000005E-3</v>
      </c>
      <c r="H79" s="38">
        <v>3.4200000000000001E-2</v>
      </c>
      <c r="I79" s="8"/>
      <c r="J79" s="8"/>
      <c r="K79" s="18"/>
      <c r="L79" s="8"/>
      <c r="M79" s="18" t="s">
        <v>639</v>
      </c>
      <c r="N79" s="8"/>
      <c r="O79"/>
    </row>
    <row r="80" spans="3:15">
      <c r="C80" s="5" t="str">
        <f>IF('3.2 Emission Factors'!$D80&lt;&gt;"",""&amp;$C$72&amp;IF('3.2 Emission Factors'!$E80&lt;&gt;"",""&amp;" - "&amp;'3.2 Emission Factors'!$E80,"")&amp;" - "&amp;'3.2 Emission Factors'!$D80,"")</f>
        <v>Network - Mobile network - ARCEP / ICT / IEA Study</v>
      </c>
      <c r="D80" s="3" t="s">
        <v>637</v>
      </c>
      <c r="E80" s="5" t="s">
        <v>640</v>
      </c>
      <c r="F80" s="44"/>
      <c r="G80" s="34">
        <v>2.47E-2</v>
      </c>
      <c r="H80" s="34">
        <v>0.27300000000000002</v>
      </c>
      <c r="L80" s="35"/>
      <c r="O80"/>
    </row>
    <row r="81" spans="2:15">
      <c r="E81" s="13"/>
      <c r="F81" s="44"/>
      <c r="G81" s="1"/>
      <c r="H81" s="1"/>
      <c r="O81"/>
    </row>
    <row r="82" spans="2:15" ht="14.85" customHeight="1">
      <c r="G82" s="2"/>
      <c r="H82" s="1"/>
      <c r="I82" s="2"/>
      <c r="J82" s="1"/>
      <c r="K82" s="1"/>
      <c r="L82" s="1"/>
      <c r="M82" s="1"/>
      <c r="O82"/>
    </row>
    <row r="83" spans="2:15" ht="15.6" customHeight="1">
      <c r="B83" s="327" t="s">
        <v>641</v>
      </c>
      <c r="C83" s="327"/>
      <c r="D83" s="327"/>
      <c r="E83" s="327"/>
      <c r="F83" s="327"/>
      <c r="G83" s="327"/>
      <c r="H83" s="327"/>
      <c r="I83" s="327"/>
      <c r="J83" s="327"/>
      <c r="K83" s="327"/>
      <c r="L83" s="1"/>
      <c r="M83" s="1"/>
      <c r="O83"/>
    </row>
    <row r="84" spans="2:15" ht="15.6" customHeight="1">
      <c r="B84" s="327"/>
      <c r="C84" s="327"/>
      <c r="D84" s="327"/>
      <c r="E84" s="327"/>
      <c r="F84" s="327"/>
      <c r="G84" s="327"/>
      <c r="H84" s="327"/>
      <c r="I84" s="327"/>
      <c r="J84" s="327"/>
      <c r="K84" s="327"/>
      <c r="L84"/>
      <c r="M84" s="1"/>
      <c r="O84"/>
    </row>
    <row r="85" spans="2:15">
      <c r="G85" s="2"/>
      <c r="H85" s="1"/>
      <c r="I85" s="2"/>
      <c r="J85" s="1"/>
      <c r="K85" s="1"/>
      <c r="L85"/>
      <c r="M85" s="1"/>
      <c r="O85"/>
    </row>
    <row r="86" spans="2:15">
      <c r="L86"/>
    </row>
    <row r="87" spans="2:15">
      <c r="C87" s="325" t="s">
        <v>642</v>
      </c>
      <c r="D87" s="325"/>
      <c r="E87" s="325"/>
      <c r="F87" s="325"/>
      <c r="G87" s="325"/>
      <c r="H87" s="325"/>
      <c r="I87" s="325"/>
      <c r="J87" s="325"/>
      <c r="K87" s="325"/>
      <c r="L87"/>
    </row>
    <row r="88" spans="2:15">
      <c r="C88" s="7" t="s">
        <v>569</v>
      </c>
      <c r="D88" s="7" t="s">
        <v>430</v>
      </c>
      <c r="E88" s="7" t="s">
        <v>643</v>
      </c>
      <c r="F88" s="7" t="s">
        <v>644</v>
      </c>
      <c r="G88" s="7" t="s">
        <v>645</v>
      </c>
      <c r="H88" s="7" t="s">
        <v>646</v>
      </c>
      <c r="I88" s="14" t="s">
        <v>647</v>
      </c>
      <c r="J88" s="14" t="s">
        <v>648</v>
      </c>
      <c r="K88" s="7" t="s">
        <v>574</v>
      </c>
      <c r="L88"/>
    </row>
    <row r="89" spans="2:15">
      <c r="C89" s="41" t="s">
        <v>649</v>
      </c>
      <c r="D89" s="8" t="s">
        <v>650</v>
      </c>
      <c r="E89" s="41" t="s">
        <v>651</v>
      </c>
      <c r="F89" s="39" t="s">
        <v>652</v>
      </c>
      <c r="G89" s="10">
        <v>75</v>
      </c>
      <c r="H89" s="10"/>
      <c r="I89" s="8"/>
      <c r="J89" s="8"/>
      <c r="K89" s="8"/>
      <c r="L89"/>
    </row>
    <row r="90" spans="2:15">
      <c r="C90" s="5" t="str">
        <f>IF('3.2 Emission Factors'!$D90&lt;&gt;"",""&amp;$C$87&amp;IF('3.2 Emission Factors'!$E90&lt;&gt;"",""&amp;" - "&amp;'3.2 Emission Factors'!$E90&amp;" - "&amp;'3.2 Emission Factors'!$F90,"")&amp;" - "&amp;'3.2 Emission Factors'!$D90,"")</f>
        <v/>
      </c>
      <c r="F90" s="13"/>
      <c r="G90" s="1"/>
      <c r="H90" s="1"/>
      <c r="L90"/>
    </row>
    <row r="91" spans="2:15">
      <c r="C91" s="76" t="str">
        <f>IF('3.2 Emission Factors'!$D91&lt;&gt;"",""&amp;$C$87&amp;IF('3.2 Emission Factors'!$E91&lt;&gt;"",""&amp;" - "&amp;'3.2 Emission Factors'!$E91&amp;" - "&amp;'3.2 Emission Factors'!$F91,"")&amp;" - "&amp;'3.2 Emission Factors'!$D91,"")</f>
        <v/>
      </c>
      <c r="D91" s="77"/>
      <c r="E91" s="78"/>
      <c r="F91" s="79"/>
      <c r="G91" s="80"/>
      <c r="H91" s="80"/>
      <c r="I91" s="77"/>
      <c r="J91" s="77"/>
      <c r="K91" s="77"/>
      <c r="L91"/>
    </row>
    <row r="92" spans="2:15">
      <c r="C92" s="5" t="str">
        <f>IF('3.2 Emission Factors'!$D92&lt;&gt;"",""&amp;$C$87&amp;IF('3.2 Emission Factors'!$E92&lt;&gt;"",""&amp;" - "&amp;'3.2 Emission Factors'!$E92&amp;" - "&amp;'3.2 Emission Factors'!$F92,"")&amp;" - "&amp;'3.2 Emission Factors'!$D92,"")</f>
        <v/>
      </c>
      <c r="F92" s="13"/>
      <c r="G92" s="1"/>
      <c r="H92" s="1"/>
      <c r="L92"/>
    </row>
    <row r="93" spans="2:15">
      <c r="L93"/>
    </row>
    <row r="94" spans="2:15">
      <c r="C94" s="325" t="s">
        <v>653</v>
      </c>
      <c r="D94" s="325"/>
      <c r="E94" s="325"/>
      <c r="F94" s="325"/>
      <c r="G94" s="325"/>
      <c r="H94" s="325"/>
      <c r="I94" s="325"/>
      <c r="J94" s="325"/>
      <c r="K94" s="325"/>
      <c r="L94"/>
    </row>
    <row r="95" spans="2:15">
      <c r="C95" s="7" t="s">
        <v>569</v>
      </c>
      <c r="D95" s="7" t="s">
        <v>430</v>
      </c>
      <c r="E95" s="7" t="s">
        <v>570</v>
      </c>
      <c r="F95" s="7" t="s">
        <v>644</v>
      </c>
      <c r="G95" s="7" t="s">
        <v>645</v>
      </c>
      <c r="H95" s="7" t="s">
        <v>646</v>
      </c>
      <c r="I95" s="14" t="s">
        <v>647</v>
      </c>
      <c r="J95" s="14" t="s">
        <v>648</v>
      </c>
      <c r="K95" s="7" t="s">
        <v>574</v>
      </c>
      <c r="L95"/>
    </row>
    <row r="96" spans="2:15">
      <c r="C96" s="41" t="s">
        <v>654</v>
      </c>
      <c r="D96" s="8" t="s">
        <v>655</v>
      </c>
      <c r="E96" s="41"/>
      <c r="F96" s="39" t="s">
        <v>656</v>
      </c>
      <c r="G96" s="10">
        <v>35.523203526800309</v>
      </c>
      <c r="H96" s="10"/>
      <c r="I96" s="8"/>
      <c r="J96" s="8"/>
      <c r="K96" s="8"/>
      <c r="L96"/>
    </row>
    <row r="97" spans="2:13">
      <c r="C97" s="5" t="s">
        <v>657</v>
      </c>
      <c r="D97" s="3" t="s">
        <v>655</v>
      </c>
      <c r="F97" s="13" t="s">
        <v>658</v>
      </c>
      <c r="G97" s="2">
        <v>4890.1800327587998</v>
      </c>
      <c r="H97" s="1"/>
      <c r="L97"/>
    </row>
    <row r="98" spans="2:13">
      <c r="C98" s="76" t="str">
        <f>IF('3.2 Emission Factors'!$D98&lt;&gt;"",""&amp;$C$87&amp;IF('3.2 Emission Factors'!$E98&lt;&gt;"",""&amp;" - "&amp;'3.2 Emission Factors'!$E98&amp;" - "&amp;'3.2 Emission Factors'!$F98,"")&amp;" - "&amp;'3.2 Emission Factors'!$D98,"")</f>
        <v/>
      </c>
      <c r="D98" s="77"/>
      <c r="E98" s="78"/>
      <c r="F98" s="79"/>
      <c r="G98" s="80"/>
      <c r="H98" s="80"/>
      <c r="I98" s="77"/>
      <c r="J98" s="77"/>
      <c r="K98" s="77"/>
      <c r="L98"/>
    </row>
    <row r="99" spans="2:13">
      <c r="C99" s="5" t="str">
        <f>IF('3.2 Emission Factors'!$D99&lt;&gt;"",""&amp;$C$87&amp;IF('3.2 Emission Factors'!$E99&lt;&gt;"",""&amp;" - "&amp;'3.2 Emission Factors'!$E99&amp;" - "&amp;'3.2 Emission Factors'!$F99,"")&amp;" - "&amp;'3.2 Emission Factors'!$D99,"")</f>
        <v/>
      </c>
      <c r="F99" s="13"/>
      <c r="G99" s="1"/>
      <c r="H99" s="1"/>
      <c r="L99"/>
    </row>
    <row r="100" spans="2:13" ht="14.85" customHeight="1">
      <c r="G100" s="2"/>
      <c r="H100" s="1"/>
      <c r="I100" s="2"/>
      <c r="J100" s="1"/>
      <c r="K100" s="1"/>
      <c r="L100"/>
      <c r="M100" s="1"/>
    </row>
    <row r="101" spans="2:13" ht="15.6" customHeight="1">
      <c r="B101" s="327" t="s">
        <v>198</v>
      </c>
      <c r="C101" s="327"/>
      <c r="D101" s="327"/>
      <c r="E101" s="327"/>
      <c r="F101" s="327"/>
      <c r="G101" s="327"/>
      <c r="H101" s="327"/>
      <c r="I101" s="327"/>
      <c r="J101" s="327"/>
      <c r="K101" s="327"/>
      <c r="L101"/>
      <c r="M101" s="1"/>
    </row>
    <row r="102" spans="2:13" ht="15.6" customHeight="1">
      <c r="B102" s="327"/>
      <c r="C102" s="327"/>
      <c r="D102" s="327"/>
      <c r="E102" s="327"/>
      <c r="F102" s="327"/>
      <c r="G102" s="327"/>
      <c r="H102" s="327"/>
      <c r="I102" s="327"/>
      <c r="J102" s="327"/>
      <c r="K102" s="327"/>
      <c r="L102"/>
      <c r="M102" s="1"/>
    </row>
    <row r="103" spans="2:13">
      <c r="G103" s="2"/>
      <c r="H103" s="1"/>
      <c r="I103" s="2"/>
      <c r="J103" s="1"/>
      <c r="K103" s="1"/>
      <c r="L103"/>
      <c r="M103" s="1"/>
    </row>
    <row r="104" spans="2:13">
      <c r="L104"/>
    </row>
    <row r="105" spans="2:13">
      <c r="C105" s="325" t="s">
        <v>198</v>
      </c>
      <c r="D105" s="325"/>
      <c r="E105" s="325"/>
      <c r="F105" s="325"/>
      <c r="G105" s="325"/>
      <c r="H105" s="325"/>
      <c r="I105" s="325"/>
      <c r="J105" s="325"/>
      <c r="K105" s="325"/>
      <c r="L105"/>
    </row>
    <row r="106" spans="2:13">
      <c r="C106" s="7" t="s">
        <v>569</v>
      </c>
      <c r="D106" s="7" t="s">
        <v>430</v>
      </c>
      <c r="E106" s="7" t="s">
        <v>570</v>
      </c>
      <c r="F106" s="7" t="s">
        <v>644</v>
      </c>
      <c r="G106" s="7" t="s">
        <v>645</v>
      </c>
      <c r="H106" s="7" t="s">
        <v>646</v>
      </c>
      <c r="I106" s="14" t="s">
        <v>647</v>
      </c>
      <c r="J106" s="14" t="s">
        <v>648</v>
      </c>
      <c r="K106" s="7" t="s">
        <v>574</v>
      </c>
      <c r="L106"/>
    </row>
    <row r="107" spans="2:13">
      <c r="C107" s="41" t="s">
        <v>659</v>
      </c>
      <c r="D107" s="41"/>
      <c r="E107" s="41" t="s">
        <v>660</v>
      </c>
      <c r="F107" s="41" t="s">
        <v>661</v>
      </c>
      <c r="G107" s="41">
        <f>AVERAGE(G111:G112)</f>
        <v>1.5314999999999999E-2</v>
      </c>
      <c r="H107" s="41"/>
      <c r="I107" s="41"/>
      <c r="J107" s="41"/>
      <c r="K107" s="41"/>
      <c r="L107"/>
    </row>
    <row r="108" spans="2:13">
      <c r="C108" s="5" t="str">
        <f>"Air travel"&amp;" - "&amp;Tableau36[[#This Row],[Source]]&amp;" - "&amp;Tableau36[[#This Row],[Parameter]]</f>
        <v>Air travel - ADEME 2020, Base carbone - Short-haul, with trails</v>
      </c>
      <c r="D108" s="5" t="s">
        <v>606</v>
      </c>
      <c r="E108" s="5" t="s">
        <v>662</v>
      </c>
      <c r="F108" s="5" t="s">
        <v>661</v>
      </c>
      <c r="G108" s="5">
        <v>0.25800000000000001</v>
      </c>
      <c r="H108" s="5"/>
      <c r="I108" s="5"/>
      <c r="J108" s="5"/>
      <c r="K108" s="5"/>
      <c r="L108"/>
    </row>
    <row r="109" spans="2:13">
      <c r="C109" s="41" t="str">
        <f>"Air travel"&amp;" - "&amp;Tableau36[[#This Row],[Source]]&amp;" - "&amp;Tableau36[[#This Row],[Parameter]]</f>
        <v>Air travel - ADEME 2020, Base carbone - Medium-haul, with trails</v>
      </c>
      <c r="D109" s="41" t="s">
        <v>606</v>
      </c>
      <c r="E109" s="41" t="s">
        <v>663</v>
      </c>
      <c r="F109" s="41" t="s">
        <v>661</v>
      </c>
      <c r="G109" s="41">
        <v>0.187</v>
      </c>
      <c r="H109" s="41"/>
      <c r="I109" s="41"/>
      <c r="J109" s="41"/>
      <c r="K109" s="41"/>
      <c r="L109"/>
    </row>
    <row r="110" spans="2:13">
      <c r="C110" s="5" t="str">
        <f>"Air travel"&amp;" - "&amp;Tableau36[[#This Row],[Source]]&amp;" - "&amp;Tableau36[[#This Row],[Parameter]]</f>
        <v>Air travel - ADEME 2020, Base carbone - Long-haul, with trails</v>
      </c>
      <c r="D110" s="5" t="s">
        <v>606</v>
      </c>
      <c r="E110" s="5" t="s">
        <v>664</v>
      </c>
      <c r="F110" s="5" t="s">
        <v>661</v>
      </c>
      <c r="G110" s="5">
        <v>0.152</v>
      </c>
      <c r="H110" s="5"/>
      <c r="I110" s="5"/>
      <c r="J110" s="5"/>
      <c r="K110" s="5"/>
      <c r="L110"/>
    </row>
    <row r="111" spans="2:13">
      <c r="C111" s="41" t="str">
        <f>"Rail travel"&amp;" - "&amp;Tableau36[[#This Row],[Source]]&amp;" - "&amp;Tableau36[[#This Row],[Parameter]]</f>
        <v>Rail travel - ADEME 2022, Base carbone - High-speed train, France</v>
      </c>
      <c r="D111" s="41" t="s">
        <v>665</v>
      </c>
      <c r="E111" s="41" t="s">
        <v>666</v>
      </c>
      <c r="F111" s="41" t="s">
        <v>661</v>
      </c>
      <c r="G111" s="41">
        <v>2.9299999999999999E-3</v>
      </c>
      <c r="H111" s="41"/>
      <c r="I111" s="41"/>
      <c r="J111" s="41"/>
      <c r="K111" s="41"/>
      <c r="L111"/>
    </row>
    <row r="112" spans="2:13">
      <c r="C112" s="5" t="str">
        <f>"Rail travel"&amp;" - "&amp;Tableau36[[#This Row],[Source]]&amp;" - "&amp;Tableau36[[#This Row],[Parameter]]</f>
        <v>Rail travel - ADEME 2022, Base carbone - Regional Express Train (TER), France</v>
      </c>
      <c r="D112" s="5" t="s">
        <v>665</v>
      </c>
      <c r="E112" s="5" t="s">
        <v>667</v>
      </c>
      <c r="F112" s="5" t="s">
        <v>661</v>
      </c>
      <c r="G112" s="5">
        <v>2.7699999999999999E-2</v>
      </c>
      <c r="H112" s="5"/>
      <c r="I112" s="5"/>
      <c r="J112" s="5"/>
      <c r="K112" s="5"/>
      <c r="L112"/>
    </row>
    <row r="113" spans="2:12">
      <c r="C113" s="41" t="str">
        <f>"Car travel"&amp;" - "&amp;Tableau36[[#This Row],[Source]]&amp;" - "&amp;Tableau36[[#This Row],[Parameter]]</f>
        <v>Car travel - ADEME 2022, Base carbone - Short commute, average car model</v>
      </c>
      <c r="D113" s="41" t="s">
        <v>665</v>
      </c>
      <c r="E113" s="41" t="s">
        <v>668</v>
      </c>
      <c r="F113" s="41" t="s">
        <v>661</v>
      </c>
      <c r="G113" s="41">
        <v>0.153</v>
      </c>
      <c r="H113" s="41"/>
      <c r="I113" s="41"/>
      <c r="J113" s="41"/>
      <c r="K113" s="41"/>
      <c r="L113"/>
    </row>
    <row r="114" spans="2:12">
      <c r="C114" s="5" t="str">
        <f>"Car travel"&amp;" - "&amp;Tableau36[[#This Row],[Source]]&amp;" - "&amp;Tableau36[[#This Row],[Parameter]]</f>
        <v>Car travel - ADEME 2022, Base carbone - Long commute, average car model</v>
      </c>
      <c r="D114" s="5" t="s">
        <v>665</v>
      </c>
      <c r="E114" s="5" t="s">
        <v>669</v>
      </c>
      <c r="F114" s="5" t="s">
        <v>661</v>
      </c>
      <c r="G114" s="5">
        <v>0.13500000000000001</v>
      </c>
      <c r="H114" s="5"/>
      <c r="I114" s="5"/>
      <c r="J114" s="5"/>
      <c r="K114" s="5"/>
      <c r="L114"/>
    </row>
    <row r="115" spans="2:12">
      <c r="C115" s="41" t="str">
        <f>"Car travel"&amp;" - "&amp;Tableau36[[#This Row],[Source]]&amp;" - "&amp;Tableau36[[#This Row],[Parameter]]</f>
        <v>Car travel - ADEME 2022, Base carbone - Mixed commute, average car model</v>
      </c>
      <c r="D115" s="41" t="s">
        <v>665</v>
      </c>
      <c r="E115" s="41" t="s">
        <v>670</v>
      </c>
      <c r="F115" s="41" t="s">
        <v>661</v>
      </c>
      <c r="G115" s="41">
        <v>0.14399999999999999</v>
      </c>
      <c r="H115" s="41"/>
      <c r="I115" s="41"/>
      <c r="J115" s="41"/>
      <c r="K115" s="41"/>
      <c r="L115"/>
    </row>
    <row r="116" spans="2:12">
      <c r="D116" s="5"/>
      <c r="G116" s="5"/>
      <c r="H116" s="5"/>
      <c r="I116" s="5"/>
      <c r="J116" s="5"/>
      <c r="K116" s="5"/>
      <c r="L116"/>
    </row>
    <row r="117" spans="2:12">
      <c r="C117" s="5" t="str">
        <f>IF('3.2 Emission Factors'!$D117&lt;&gt;"",""&amp;$C$87&amp;IF('3.2 Emission Factors'!$E117&lt;&gt;"",""&amp;" - "&amp;'3.2 Emission Factors'!$E117&amp;" - "&amp;'3.2 Emission Factors'!$F117,"")&amp;" - "&amp;'3.2 Emission Factors'!$D117,"")</f>
        <v/>
      </c>
      <c r="F117" s="13"/>
      <c r="G117" s="1"/>
      <c r="H117" s="1"/>
      <c r="L117"/>
    </row>
    <row r="118" spans="2:12">
      <c r="F118" s="13"/>
      <c r="G118" s="1"/>
      <c r="H118" s="1"/>
      <c r="L118"/>
    </row>
    <row r="119" spans="2:12" ht="14.45" customHeight="1">
      <c r="B119" s="326" t="s">
        <v>671</v>
      </c>
      <c r="C119" s="326"/>
      <c r="D119" s="326"/>
      <c r="E119" s="326"/>
      <c r="F119" s="326"/>
      <c r="G119" s="326"/>
      <c r="H119" s="326"/>
      <c r="I119" s="326"/>
      <c r="J119" s="326"/>
      <c r="K119" s="326"/>
      <c r="L119" s="1"/>
    </row>
    <row r="120" spans="2:12" ht="14.45" customHeight="1">
      <c r="B120" s="326"/>
      <c r="C120" s="326"/>
      <c r="D120" s="326"/>
      <c r="E120" s="326"/>
      <c r="F120" s="326"/>
      <c r="G120" s="326"/>
      <c r="H120" s="326"/>
      <c r="I120" s="326"/>
      <c r="J120" s="326"/>
      <c r="K120" s="326"/>
      <c r="L120" s="1"/>
    </row>
    <row r="121" spans="2:12">
      <c r="C121" s="3"/>
      <c r="D121" s="5"/>
      <c r="E121" s="3"/>
      <c r="G121" s="5"/>
      <c r="H121" s="2"/>
      <c r="I121" s="1"/>
      <c r="J121" s="2"/>
      <c r="K121" s="1"/>
      <c r="L121" s="1"/>
    </row>
    <row r="122" spans="2:12">
      <c r="C122" s="3"/>
      <c r="D122" s="5"/>
      <c r="E122" s="3"/>
      <c r="G122" s="5"/>
    </row>
    <row r="123" spans="2:12">
      <c r="C123" s="325" t="s">
        <v>671</v>
      </c>
      <c r="D123" s="325"/>
      <c r="E123" s="325"/>
      <c r="F123" s="325"/>
      <c r="G123" s="325"/>
      <c r="H123" s="325"/>
      <c r="I123" s="325"/>
      <c r="J123" s="325"/>
      <c r="K123" s="325"/>
    </row>
    <row r="124" spans="2:12">
      <c r="C124" s="7" t="s">
        <v>569</v>
      </c>
      <c r="D124" s="7" t="s">
        <v>430</v>
      </c>
      <c r="E124" s="7" t="s">
        <v>324</v>
      </c>
      <c r="F124" s="7" t="s">
        <v>571</v>
      </c>
      <c r="G124" s="7" t="s">
        <v>572</v>
      </c>
      <c r="H124" s="7" t="s">
        <v>573</v>
      </c>
      <c r="I124" s="14" t="s">
        <v>647</v>
      </c>
      <c r="J124" s="14" t="s">
        <v>648</v>
      </c>
      <c r="K124" s="7" t="s">
        <v>574</v>
      </c>
    </row>
    <row r="125" spans="2:12">
      <c r="C125" s="41" t="str">
        <f>"USB Key"&amp;" - "&amp;Tableau3613[[#This Row],[Source]]</f>
        <v>USB Key - ADEME 2023, Base carbone</v>
      </c>
      <c r="D125" s="8" t="s">
        <v>576</v>
      </c>
      <c r="E125" s="8" t="s">
        <v>672</v>
      </c>
      <c r="F125" s="41">
        <v>5</v>
      </c>
      <c r="G125" s="41">
        <v>2.91</v>
      </c>
      <c r="H125" s="216">
        <v>3.6499999999999998E-2</v>
      </c>
      <c r="I125" s="41"/>
      <c r="J125" s="41"/>
      <c r="K125" s="220" t="s">
        <v>579</v>
      </c>
    </row>
    <row r="126" spans="2:12">
      <c r="C126" s="5" t="str">
        <f>"External hard drive"&amp;" - "&amp;Tableau3613[[#This Row],[Source]]</f>
        <v>External hard drive - ADEME 2023, Base carbone</v>
      </c>
      <c r="D126" s="5" t="s">
        <v>576</v>
      </c>
      <c r="E126" s="3" t="s">
        <v>626</v>
      </c>
      <c r="F126" s="5">
        <v>5</v>
      </c>
      <c r="G126" s="5">
        <v>11.5</v>
      </c>
      <c r="H126" s="217">
        <v>2.8277777777777802</v>
      </c>
      <c r="I126" s="5"/>
      <c r="J126" s="5"/>
      <c r="K126" s="5" t="s">
        <v>579</v>
      </c>
    </row>
    <row r="127" spans="2:12">
      <c r="C127" s="41" t="str">
        <f>"External SSD"&amp;" - "&amp;Tableau3613[[#This Row],[Source]]</f>
        <v>External SSD - ADEME 2023, Base carbone</v>
      </c>
      <c r="D127" s="41" t="s">
        <v>576</v>
      </c>
      <c r="E127" s="8" t="s">
        <v>629</v>
      </c>
      <c r="F127" s="41">
        <v>5</v>
      </c>
      <c r="G127" s="41">
        <v>135</v>
      </c>
      <c r="H127" s="42">
        <v>0.37</v>
      </c>
      <c r="I127" s="41"/>
      <c r="J127" s="41"/>
      <c r="K127" s="41" t="s">
        <v>579</v>
      </c>
    </row>
    <row r="128" spans="2:12">
      <c r="C128" s="5" t="str">
        <f>"Modem"&amp;" - "&amp;Tableau3613[[#This Row],[Source]]</f>
        <v>Modem - ADEME 2023, Base carbone</v>
      </c>
      <c r="D128" s="5" t="s">
        <v>576</v>
      </c>
      <c r="E128" s="3" t="s">
        <v>673</v>
      </c>
      <c r="F128" s="5">
        <v>5</v>
      </c>
      <c r="G128" s="5">
        <v>60.8</v>
      </c>
      <c r="H128" s="44">
        <v>73</v>
      </c>
      <c r="I128" s="5"/>
      <c r="J128" s="5"/>
      <c r="K128" s="5" t="s">
        <v>579</v>
      </c>
    </row>
    <row r="129" spans="3:11">
      <c r="C129" s="41" t="str">
        <f>"Connected thermostat"&amp;" - "&amp;Tableau3613[[#This Row],[Source]]</f>
        <v>Connected thermostat - ADEME 2023, Base carbone</v>
      </c>
      <c r="D129" s="41" t="s">
        <v>576</v>
      </c>
      <c r="E129" s="8" t="s">
        <v>674</v>
      </c>
      <c r="F129" s="41">
        <v>12</v>
      </c>
      <c r="G129" s="218">
        <v>6.9232975012228897</v>
      </c>
      <c r="H129" s="216">
        <v>15.4938888888889</v>
      </c>
      <c r="I129" s="41"/>
      <c r="J129" s="41"/>
      <c r="K129" s="41" t="s">
        <v>579</v>
      </c>
    </row>
    <row r="130" spans="3:11">
      <c r="C130" s="5" t="str">
        <f>"Industry sensor"&amp;" - "&amp;Tableau3613[[#This Row],[Source]]</f>
        <v>Industry sensor - ADEME 2023, Base carbone</v>
      </c>
      <c r="D130" s="5" t="s">
        <v>576</v>
      </c>
      <c r="E130" s="5" t="s">
        <v>675</v>
      </c>
      <c r="F130" s="5">
        <v>5</v>
      </c>
      <c r="G130" s="219">
        <v>6.1144264375172197</v>
      </c>
      <c r="H130" s="44">
        <v>0</v>
      </c>
      <c r="I130" s="5"/>
      <c r="J130" s="5"/>
      <c r="K130" s="5" t="s">
        <v>579</v>
      </c>
    </row>
    <row r="131" spans="3:11">
      <c r="C131" s="41" t="str">
        <f>"Virtual reality helmet LCD"&amp;" - "&amp;Tableau3613[[#This Row],[Source]]</f>
        <v>Virtual reality helmet LCD - ADEME 2023, Base carbone</v>
      </c>
      <c r="D131" s="41" t="s">
        <v>576</v>
      </c>
      <c r="E131" s="8" t="s">
        <v>676</v>
      </c>
      <c r="F131" s="41">
        <v>5</v>
      </c>
      <c r="G131" s="41">
        <v>49.32</v>
      </c>
      <c r="H131" s="216">
        <v>0.70740800000000004</v>
      </c>
      <c r="I131" s="41"/>
      <c r="J131" s="41"/>
      <c r="K131" s="41" t="s">
        <v>579</v>
      </c>
    </row>
    <row r="132" spans="3:11">
      <c r="C132" s="5" t="str">
        <f>"Virtual reality helmet OLED"&amp;" - "&amp;Tableau3613[[#This Row],[Source]]</f>
        <v>Virtual reality helmet OLED - ADEME 2023, Base carbone</v>
      </c>
      <c r="D132" s="5" t="s">
        <v>576</v>
      </c>
      <c r="E132" s="3" t="s">
        <v>676</v>
      </c>
      <c r="F132" s="5">
        <v>5</v>
      </c>
      <c r="G132" s="5">
        <v>91.42</v>
      </c>
      <c r="H132" s="217">
        <v>0.726128</v>
      </c>
      <c r="I132" s="5"/>
      <c r="J132" s="5"/>
      <c r="K132" s="5" t="s">
        <v>579</v>
      </c>
    </row>
    <row r="133" spans="3:11">
      <c r="C133" s="41" t="str">
        <f>"Controller for virtual reality helmet"&amp;"-"&amp;Tableau3613[[#This Row],[Source]]</f>
        <v>Controller for virtual reality helmet-ADEME 2023, Base carbone</v>
      </c>
      <c r="D133" s="41" t="s">
        <v>576</v>
      </c>
      <c r="E133" s="41"/>
      <c r="F133" s="41">
        <v>5</v>
      </c>
      <c r="G133" s="41"/>
      <c r="H133" s="41"/>
      <c r="I133" s="41"/>
      <c r="J133" s="41"/>
      <c r="K133" s="41" t="s">
        <v>579</v>
      </c>
    </row>
    <row r="134" spans="3:11">
      <c r="C134" s="5" t="str">
        <f>"External power supply laptop"&amp;"-"&amp;Tableau3613[[#This Row],[Source]]</f>
        <v>External power supply laptop-ADEME 2023, Base carbone</v>
      </c>
      <c r="D134" s="5" t="s">
        <v>576</v>
      </c>
      <c r="E134" s="3" t="s">
        <v>677</v>
      </c>
      <c r="F134" s="5" t="s">
        <v>678</v>
      </c>
      <c r="G134" s="219">
        <v>3.5055777421701002</v>
      </c>
      <c r="H134" s="44">
        <v>0</v>
      </c>
      <c r="I134" s="5"/>
      <c r="J134" s="5"/>
      <c r="K134" s="5" t="s">
        <v>579</v>
      </c>
    </row>
    <row r="135" spans="3:11">
      <c r="C135" s="41" t="str">
        <f>"External power supply smartphones &amp; tablets"&amp;"-"&amp;Tableau3613[[#This Row],[Source]]</f>
        <v>External power supply smartphones &amp; tablets-ADEME 2023, Base carbone</v>
      </c>
      <c r="D135" s="41" t="s">
        <v>576</v>
      </c>
      <c r="E135" s="8" t="s">
        <v>679</v>
      </c>
      <c r="F135" s="41" t="s">
        <v>678</v>
      </c>
      <c r="G135" s="218">
        <v>0.34867671405950501</v>
      </c>
      <c r="H135" s="42">
        <v>0</v>
      </c>
      <c r="I135" s="41"/>
      <c r="J135" s="41"/>
      <c r="K135" s="41" t="s">
        <v>579</v>
      </c>
    </row>
    <row r="136" spans="3:11">
      <c r="C136" s="43" t="str">
        <f>"Personal configuration television"&amp;"-"&amp;Tableau3613[[#This Row],[Source]]</f>
        <v>Personal configuration television-ADEME 2023, Base carbone</v>
      </c>
      <c r="D136" s="5" t="s">
        <v>576</v>
      </c>
      <c r="E136" s="3" t="s">
        <v>680</v>
      </c>
      <c r="F136" s="5">
        <v>8</v>
      </c>
      <c r="G136" s="219">
        <v>325.029</v>
      </c>
      <c r="H136" s="44">
        <v>179</v>
      </c>
      <c r="I136" s="5"/>
      <c r="J136" s="5"/>
      <c r="K136" s="5" t="s">
        <v>579</v>
      </c>
    </row>
    <row r="137" spans="3:11">
      <c r="C137" s="41" t="str">
        <f>"Personal configuration television"&amp;"-"&amp;Tableau3613[[#This Row],[Source]]</f>
        <v>Personal configuration television-ADEME 2023, Base carbone</v>
      </c>
      <c r="D137" s="41" t="s">
        <v>576</v>
      </c>
      <c r="E137" s="8" t="s">
        <v>681</v>
      </c>
      <c r="F137" s="41">
        <v>8</v>
      </c>
      <c r="G137" s="218">
        <v>254.96066099999999</v>
      </c>
      <c r="H137" s="42">
        <v>179</v>
      </c>
      <c r="I137" s="41"/>
      <c r="J137" s="41"/>
      <c r="K137" s="41" t="s">
        <v>579</v>
      </c>
    </row>
  </sheetData>
  <mergeCells count="15">
    <mergeCell ref="B39:R41"/>
    <mergeCell ref="B2:K3"/>
    <mergeCell ref="C87:K87"/>
    <mergeCell ref="C66:K66"/>
    <mergeCell ref="T45:V45"/>
    <mergeCell ref="B83:K84"/>
    <mergeCell ref="C77:L77"/>
    <mergeCell ref="C72:L72"/>
    <mergeCell ref="C61:K61"/>
    <mergeCell ref="C56:K56"/>
    <mergeCell ref="C123:K123"/>
    <mergeCell ref="B119:K120"/>
    <mergeCell ref="B101:K102"/>
    <mergeCell ref="C105:K105"/>
    <mergeCell ref="C94:K94"/>
  </mergeCells>
  <phoneticPr fontId="13" type="noConversion"/>
  <hyperlinks>
    <hyperlink ref="Q47" r:id="rId1" xr:uid="{49B3342B-1A0B-4D88-A078-301DD26DDE7C}"/>
    <hyperlink ref="M79" r:id="rId2" xr:uid="{F80DD474-E47F-417E-8464-BC8618D91B89}"/>
    <hyperlink ref="Q50" r:id="rId3" xr:uid="{805B09F1-2ECA-4A45-A830-D9AEC9753414}"/>
    <hyperlink ref="Q52" r:id="rId4" xr:uid="{C263A879-8CD1-4DE9-BD55-1FB3E8850E95}"/>
    <hyperlink ref="Q51" r:id="rId5" xr:uid="{030BEA42-8B50-4C67-AD74-92DBBCB9ACBC}"/>
    <hyperlink ref="Q49" r:id="rId6" xr:uid="{E7C190D6-C570-4376-8FC7-2BAB692A3B2C}"/>
    <hyperlink ref="K125" r:id="rId7" xr:uid="{E711619C-B362-4179-8431-FF2FF42071EB}"/>
    <hyperlink ref="J8" r:id="rId8" xr:uid="{A70D5534-AF13-4955-AC00-173D0E15ECED}"/>
    <hyperlink ref="J22" r:id="rId9" xr:uid="{8A3DACB5-F142-4529-9161-4D9265D63682}"/>
    <hyperlink ref="J27" r:id="rId10" xr:uid="{6512BE98-A06C-4BB4-9EAC-8651D70FFDFB}"/>
    <hyperlink ref="J34" r:id="rId11" xr:uid="{C1B564F3-59C5-406E-9968-CA970E4EA039}"/>
    <hyperlink ref="J58" r:id="rId12" xr:uid="{B43D0D26-782F-4B07-A360-201DD09B8BC7}"/>
    <hyperlink ref="J63" r:id="rId13" xr:uid="{52437432-DC86-422D-B5DC-47CF2357549E}"/>
  </hyperlinks>
  <pageMargins left="0.7" right="0.7" top="0.75" bottom="0.75" header="0.3" footer="0.3"/>
  <pageSetup paperSize="9" orientation="portrait" r:id="rId14"/>
  <legacyDrawing r:id="rId15"/>
  <tableParts count="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C8E3-21D3-4800-A6A1-6B7BE168AF82}">
  <sheetPr>
    <tabColor theme="8"/>
  </sheetPr>
  <dimension ref="A1:D22"/>
  <sheetViews>
    <sheetView zoomScale="70" zoomScaleNormal="70" workbookViewId="0">
      <selection activeCell="B6" sqref="B6"/>
    </sheetView>
  </sheetViews>
  <sheetFormatPr defaultColWidth="8.85546875" defaultRowHeight="14.45"/>
  <cols>
    <col min="1" max="1" width="20.85546875" customWidth="1"/>
    <col min="2" max="2" width="26.85546875" style="23" customWidth="1"/>
    <col min="3" max="3" width="53.140625" style="23" customWidth="1"/>
    <col min="4" max="4" width="12.5703125" customWidth="1"/>
  </cols>
  <sheetData>
    <row r="1" spans="1:4">
      <c r="B1"/>
      <c r="C1"/>
    </row>
    <row r="2" spans="1:4" ht="15.6">
      <c r="A2" s="196" t="s">
        <v>216</v>
      </c>
      <c r="B2"/>
      <c r="C2"/>
    </row>
    <row r="3" spans="1:4" ht="15.6">
      <c r="B3" s="160" t="s">
        <v>217</v>
      </c>
      <c r="C3"/>
    </row>
    <row r="4" spans="1:4">
      <c r="B4" s="161" t="s">
        <v>682</v>
      </c>
      <c r="C4"/>
    </row>
    <row r="5" spans="1:4">
      <c r="B5" s="224" t="s">
        <v>683</v>
      </c>
      <c r="C5"/>
    </row>
    <row r="6" spans="1:4">
      <c r="B6" s="162" t="s">
        <v>684</v>
      </c>
      <c r="C6"/>
    </row>
    <row r="7" spans="1:4">
      <c r="B7" s="163" t="s">
        <v>685</v>
      </c>
      <c r="C7"/>
    </row>
    <row r="8" spans="1:4">
      <c r="B8" s="164" t="s">
        <v>221</v>
      </c>
      <c r="C8"/>
    </row>
    <row r="9" spans="1:4">
      <c r="B9"/>
      <c r="C9"/>
    </row>
    <row r="10" spans="1:4" ht="15.6">
      <c r="A10" s="100" t="s">
        <v>209</v>
      </c>
    </row>
    <row r="11" spans="1:4">
      <c r="B11" s="65" t="s">
        <v>686</v>
      </c>
      <c r="C11" s="66" t="s">
        <v>687</v>
      </c>
      <c r="D11" s="67" t="s">
        <v>688</v>
      </c>
    </row>
    <row r="12" spans="1:4">
      <c r="B12" s="181">
        <v>0</v>
      </c>
      <c r="C12" s="30" t="s">
        <v>689</v>
      </c>
      <c r="D12" s="186">
        <v>2</v>
      </c>
    </row>
    <row r="13" spans="1:4">
      <c r="B13" s="181">
        <v>1</v>
      </c>
      <c r="C13" s="30" t="s">
        <v>690</v>
      </c>
      <c r="D13" s="186">
        <v>50</v>
      </c>
    </row>
    <row r="14" spans="1:4">
      <c r="B14" s="182">
        <v>2</v>
      </c>
      <c r="C14" s="30" t="s">
        <v>691</v>
      </c>
      <c r="D14" s="187">
        <f>1/18</f>
        <v>5.5555555555555552E-2</v>
      </c>
    </row>
    <row r="15" spans="1:4" ht="28.5" customHeight="1">
      <c r="B15" s="183">
        <v>3.1</v>
      </c>
      <c r="C15" s="30" t="s">
        <v>692</v>
      </c>
      <c r="D15" s="187">
        <v>2.5000000000000001E-3</v>
      </c>
    </row>
    <row r="16" spans="1:4">
      <c r="B16" s="182">
        <v>3.2</v>
      </c>
      <c r="C16" s="30" t="s">
        <v>693</v>
      </c>
      <c r="D16" s="187">
        <v>7.4999999999999997E-3</v>
      </c>
    </row>
    <row r="17" spans="2:4" ht="29.25" customHeight="1">
      <c r="B17" s="182">
        <v>3.3</v>
      </c>
      <c r="C17" s="30" t="s">
        <v>694</v>
      </c>
      <c r="D17" s="187">
        <v>7.4999999999999997E-3</v>
      </c>
    </row>
    <row r="18" spans="2:4" ht="29.1">
      <c r="B18" s="184">
        <v>3.4</v>
      </c>
      <c r="C18" s="68" t="s">
        <v>695</v>
      </c>
      <c r="D18" s="188">
        <v>2.2499999999999999E-2</v>
      </c>
    </row>
    <row r="20" spans="2:4">
      <c r="B20"/>
    </row>
    <row r="21" spans="2:4">
      <c r="B21"/>
    </row>
    <row r="22" spans="2:4">
      <c r="B22"/>
    </row>
  </sheetData>
  <conditionalFormatting sqref="B11:D11">
    <cfRule type="cellIs" dxfId="72" priority="1" operator="equal">
      <formula>"No"</formula>
    </cfRule>
    <cfRule type="cellIs" dxfId="71" priority="2" operator="equal">
      <formula>"Yes"</formula>
    </cfRule>
  </conditionalFormatting>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6864-3294-4C57-8B3A-470CCE74CDD2}">
  <sheetPr>
    <tabColor theme="5" tint="0.39997558519241921"/>
  </sheetPr>
  <dimension ref="A1:S90"/>
  <sheetViews>
    <sheetView showGridLines="0" zoomScale="70" zoomScaleNormal="70" workbookViewId="0">
      <selection activeCell="C13" sqref="C13"/>
    </sheetView>
  </sheetViews>
  <sheetFormatPr defaultColWidth="8.85546875" defaultRowHeight="14.45"/>
  <cols>
    <col min="1" max="1" width="19.140625" style="5" customWidth="1"/>
    <col min="2" max="2" width="16.42578125" style="5" customWidth="1"/>
    <col min="3" max="3" width="46.5703125" style="5" customWidth="1"/>
    <col min="4" max="4" width="32.85546875" style="5" customWidth="1"/>
    <col min="5" max="5" width="27.140625" style="5" customWidth="1"/>
    <col min="6" max="6" width="27.85546875" style="5" customWidth="1"/>
    <col min="7" max="7" width="26.5703125" style="5" customWidth="1"/>
    <col min="8" max="8" width="19.85546875" style="5" customWidth="1"/>
    <col min="9" max="9" width="17.140625" style="5" customWidth="1"/>
    <col min="10" max="10" width="30.140625" style="5" customWidth="1"/>
    <col min="11" max="11" width="20.85546875" style="5" customWidth="1"/>
    <col min="12" max="12" width="25.140625" style="5" customWidth="1"/>
    <col min="13" max="13" width="21.85546875" style="5" customWidth="1"/>
    <col min="14" max="14" width="16.85546875" style="5" customWidth="1"/>
    <col min="15" max="15" width="17.140625" style="5" customWidth="1"/>
    <col min="16" max="16" width="18.5703125" style="5" customWidth="1"/>
    <col min="17" max="17" width="14.42578125" style="3" customWidth="1"/>
    <col min="18" max="19" width="20.5703125" style="3" customWidth="1"/>
    <col min="20" max="16384" width="8.85546875" style="3"/>
  </cols>
  <sheetData>
    <row r="1" spans="1:17">
      <c r="A1" s="133" t="s">
        <v>696</v>
      </c>
      <c r="B1" s="51">
        <f>'2.1 Mapping Devices'!C11+'2.2 Mapping Network'!C11+'2.3 Mapping Backup Servers'!C11+'2.4 Mapping CyberSoftware Infra'!C11+'2.5 Mapping External services'!C11+'2.6 Mapping Travel'!C11+'2.7 Mapping Non Cyber'!C11</f>
        <v>5336.9783993121509</v>
      </c>
      <c r="G1" s="3"/>
      <c r="H1" s="3"/>
      <c r="I1" s="3"/>
      <c r="J1" s="3"/>
      <c r="K1" s="3"/>
      <c r="L1" s="3"/>
    </row>
    <row r="2" spans="1:17">
      <c r="A2" s="133" t="s">
        <v>697</v>
      </c>
      <c r="B2" s="51" cm="1">
        <f t="array" ref="B2">Scope2_Devices+Scope2_External+Scope2_Network+Scope2_Servers+Scope2_Solutions+Scope2_Travel+Scope2_Non_Cyber</f>
        <v>69.823229816320008</v>
      </c>
      <c r="G2" s="3"/>
      <c r="H2" s="3"/>
      <c r="I2" s="3"/>
      <c r="J2" s="3"/>
      <c r="K2" s="3"/>
      <c r="L2" s="3"/>
    </row>
    <row r="3" spans="1:17">
      <c r="A3" s="133" t="s">
        <v>698</v>
      </c>
      <c r="B3" s="51" cm="1">
        <f t="array" ref="B3">Scope3_Devices+Scope3_External+Scope3_Network+Scope3_Servers+Scope3_Solutions+Scope3_Travel+Scope3_Non_Cyber</f>
        <v>5267.1551694958298</v>
      </c>
      <c r="F3" s="189"/>
      <c r="G3" s="189"/>
      <c r="H3" s="189"/>
      <c r="I3" s="189"/>
      <c r="J3" s="189"/>
      <c r="K3" s="189"/>
      <c r="L3" s="189"/>
      <c r="M3" s="189"/>
      <c r="N3" s="189"/>
      <c r="O3" s="189"/>
      <c r="P3" s="189"/>
      <c r="Q3" s="189"/>
    </row>
    <row r="18" spans="1:19">
      <c r="Q18" s="5"/>
      <c r="R18" s="5"/>
      <c r="S18" s="5"/>
    </row>
    <row r="20" spans="1:19" ht="29.1">
      <c r="A20" s="306" t="s">
        <v>29</v>
      </c>
      <c r="B20" s="307" t="s">
        <v>28</v>
      </c>
      <c r="C20" s="306" t="s">
        <v>699</v>
      </c>
      <c r="D20" s="308" t="s">
        <v>700</v>
      </c>
      <c r="E20" s="309" t="s">
        <v>701</v>
      </c>
      <c r="F20" s="135" t="s">
        <v>702</v>
      </c>
      <c r="G20" s="135" t="s">
        <v>703</v>
      </c>
      <c r="H20" s="305" t="s">
        <v>704</v>
      </c>
      <c r="I20" s="305" t="s">
        <v>705</v>
      </c>
      <c r="J20" s="135" t="s">
        <v>706</v>
      </c>
      <c r="K20" s="135" t="s">
        <v>707</v>
      </c>
      <c r="L20" s="305" t="s">
        <v>708</v>
      </c>
      <c r="M20" s="305" t="s">
        <v>709</v>
      </c>
      <c r="N20" s="135" t="s">
        <v>710</v>
      </c>
      <c r="O20" s="135" t="s">
        <v>711</v>
      </c>
      <c r="P20" s="305" t="s">
        <v>712</v>
      </c>
      <c r="Q20" s="305" t="s">
        <v>713</v>
      </c>
      <c r="R20" s="135" t="s">
        <v>714</v>
      </c>
      <c r="S20" s="135" t="s">
        <v>715</v>
      </c>
    </row>
    <row r="21" spans="1:19" ht="50.25" customHeight="1">
      <c r="A21" s="27" t="s">
        <v>14</v>
      </c>
      <c r="B21" s="134" t="s">
        <v>31</v>
      </c>
      <c r="C21" s="27" t="s">
        <v>716</v>
      </c>
      <c r="D21"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21" s="33">
        <f>Dashboard_Per_Control[[#This Row],[Total yearly CO2e emissions (kgCO2e)]]/(1000*Total)</f>
        <v>0</v>
      </c>
      <c r="F21" s="190">
        <f xml:space="preserve">
SUMIF(Mapping_Devices_Workstation_Laptop[NIST Control],B21,Mapping_Devices_Workstation_Laptop[Total emissions (kgC02e)])
+SUMIF(Mapping_Devices_Workstation_Desktop[NIST Control],B21,Mapping_Devices_Workstation_Desktop[Total emissions (kgC02e)])
+SUMIF(Mapping_Devices_Screens[NIST Control],B21,Mapping_Devices_Screens[Total emissions (kgC02e)])+SUMIF(Mapping_Devices_Smartphone[NIST Control],B21,Mapping_Devices_Smartphone[Total emissions (kgC02e)])</f>
        <v>0</v>
      </c>
      <c r="G21" s="191" t="str" cm="1">
        <f t="array" ref="G21">_xlfn.CONCAT(
IFERROR(_xlfn.CONCAT(_xlfn._xlws.FILTER(Mapping_Devices_Workstation_Laptop[Scope],Mapping_Devices_Workstation_Laptop[NIST Control]=B21)&amp;CHAR(10)),""),
IFERROR(_xlfn.CONCAT(_xlfn._xlws.FILTER(#REF!,#REF!=B21)&amp;CHAR(10)),""),
IFERROR(_xlfn.CONCAT(_xlfn._xlws.FILTER(Mapping_Devices_Screens[Scope],Mapping_Devices_Screens[NIST Control]=B21)&amp;CHAR(10)),""),
IFERROR(_xlfn.CONCAT(_xlfn._xlws.FILTER(Mapping_Devices_Smartphone[Scope],Mapping_Devices_Smartphone[NIST Control]=B21)&amp;CHAR(10)),"")
)</f>
        <v/>
      </c>
      <c r="H21" s="190">
        <f>SUMIF(Mapping_Appliance[NIST Control],B21,Mapping_Appliance[Total emissions (kgC02e)])</f>
        <v>0</v>
      </c>
      <c r="I21" s="191" t="str" cm="1">
        <f t="array" ref="I21">IFERROR(_xlfn.CONCAT(_xlfn._xlws.FILTER(Mapping_Appliance[Scope],Mapping_Appliance[NIST Control]=B21)&amp;CHAR(10)),"")</f>
        <v/>
      </c>
      <c r="J21" s="190">
        <f>SUMIF(Mapping_Servers_Backup[NIST Control],B21,Mapping_Servers_Backup[Total emissions (kgC02e)])</f>
        <v>0</v>
      </c>
      <c r="K21" s="191" t="str" cm="1">
        <f t="array" ref="K21">_xlfn.CONCAT(
IFERROR(_xlfn.CONCAT(_xlfn._xlws.FILTER(Mapping_Non_Cyber_Servers[Scope],Mapping_Non_Cyber_Servers[NIST Control]=B21)&amp;CHAR(10)),""),
IFERROR(_xlfn.CONCAT(_xlfn._xlws.FILTER(Mapping_Servers_Backup[Scope],Mapping_Servers_Backup[NIST Control]=B21)&amp;CHAR(10)),""),
)</f>
        <v/>
      </c>
      <c r="L21" s="190">
        <f>SUMIF(Mapping_Solutions_On_Premise[NIST Control],B21,Mapping_Solutions_On_Premise[Total NIST carbon emission (kgCO2e)])
+SUMIF(Mapping_Solutions_Cloud[NIST Control],B21,Mapping_Solutions_Cloud[Total NIST carbon emission (kgCO2e)])</f>
        <v>0</v>
      </c>
      <c r="M21" s="191" t="str" cm="1">
        <f t="array" ref="M21">_xlfn.CONCAT(
IFERROR(_xlfn.CONCAT(_xlfn._xlws.FILTER(Mapping_Solutions_On_Premise[Application name],#REF!=B21)&amp;CHAR(10)),""),
IFERROR(_xlfn.CONCAT(_xlfn._xlws.FILTER(Mapping_Solutions_Cloud[Application name],#REF!=B21)&amp;CHAR(10)),"")
)</f>
        <v/>
      </c>
      <c r="N21" s="190">
        <f>SUMIF(Mapping_Externals_TM[NIST Control],B21,Mapping_Externals_TM[NIST carbon emission (kgCO2e)])
+SUMIF(Mapping_Externals_Fixed_Price[NIST Control],B21,Mapping_Externals_Fixed_Price[NIST carbon emission (kgCO2e)])</f>
        <v>0</v>
      </c>
      <c r="O21" s="191" t="str" cm="1">
        <f t="array" ref="O21">_xlfn.CONCAT(
IFERROR(_xlfn.CONCAT(_xlfn._xlws.FILTER(Mapping_Externals_TM[Service name],#REF!=B21)&amp;CHAR(10)),""),
IFERROR(_xlfn.CONCAT(_xlfn._xlws.FILTER(Mapping_Externals_Fixed_Price[Service name],#REF!=B21)&amp;CHAR(10)),""))</f>
        <v/>
      </c>
      <c r="P21" s="190">
        <f>SUMIF(Mapping_Travel[NIST Control],B21,Mapping_Travel[Total emissions (kgC02e)])</f>
        <v>0</v>
      </c>
      <c r="Q21" s="192" t="str" cm="1">
        <f t="array" ref="Q21">IFERROR(_xlfn.CONCAT(_xlfn._xlws.FILTER(Mapping_Travel[Type of transportation],Mapping_Travel[NIST Control]=B21)&amp;CHAR(10)),"")</f>
        <v/>
      </c>
      <c r="R21" s="190">
        <f>SUMIF(Mapping_Non_Cyber_Workstation_Laptop[NIST Control],B21,Mapping_Non_Cyber_Workstation_Laptop[Total emissions (kgC02e)])
+SUMIF(Mapping_Non_Cyber_Workstation_Desktop[NIST Control],B21,Mapping_Non_Cyber_Workstation_Desktop[Total emissions (kgC02e)])
+SUMIF(Mapping_Non_Cyber_VDI[NIST Control],B21,Mapping_Non_Cyber_VDI[Total emissions (kgC02e)])
+SUMIF(Mapping_Non_Cyber_Servers[NIST Control],B21,Mapping_Non_Cyber_Servers[Total emissions (kgC02e)])</f>
        <v>0</v>
      </c>
      <c r="S21" s="191" t="str" cm="1">
        <f t="array" ref="S21">_xlfn.CONCAT(
IFERROR(_xlfn.CONCAT(_xlfn._xlws.FILTER(Mapping_Non_Cyber_Workstation_Laptop[Scope],Mapping_Non_Cyber_Workstation_Laptop[NIST Control]=B21)&amp;CHAR(10)),""),
IFERROR(_xlfn.CONCAT(_xlfn._xlws.FILTER(Mapping_Non_Cyber_Workstation_Desktop[Scope],Mapping_Non_Cyber_Workstation_Desktop[NIST Control]=B21)&amp;CHAR(10)),""),
IFERROR(_xlfn.CONCAT(_xlfn._xlws.FILTER(Mapping_Non_Cyber_VDI[Scope],Mapping_Non_Cyber_VDI[NIST Control]=B21)&amp;CHAR(10)),""),
IFERROR(_xlfn.CONCAT(_xlfn._xlws.FILTER(Mapping_Non_Cyber_Servers[Scope],Mapping_Non_Cyber_Servers[NIST Control]=B21)&amp;CHAR(10)),"")
)</f>
        <v/>
      </c>
    </row>
    <row r="22" spans="1:19" ht="116.1">
      <c r="A22" s="27" t="s">
        <v>15</v>
      </c>
      <c r="B22" s="134" t="s">
        <v>33</v>
      </c>
      <c r="C22" s="27" t="s">
        <v>717</v>
      </c>
      <c r="D22"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1622642.7868316812</v>
      </c>
      <c r="E22" s="33">
        <f>Dashboard_Per_Control[[#This Row],[Total yearly CO2e emissions (kgCO2e)]]/(1000*Total)</f>
        <v>0.30403772798496115</v>
      </c>
      <c r="F22" s="190">
        <f xml:space="preserve">
SUMIF(Mapping_Devices_Workstation_Laptop[NIST Control],B22,Mapping_Devices_Workstation_Laptop[Total emissions (kgC02e)])
+SUMIF(Mapping_Devices_Workstation_Desktop[NIST Control],B22,Mapping_Devices_Workstation_Desktop[Total emissions (kgC02e)])
+SUMIF(Mapping_Devices_Screens[NIST Control],B22,Mapping_Devices_Screens[Total emissions (kgC02e)])+SUMIF(Mapping_Devices_Smartphone[NIST Control],B22,Mapping_Devices_Smartphone[Total emissions (kgC02e)])</f>
        <v>0</v>
      </c>
      <c r="G22" s="191" t="str" cm="1">
        <f t="array" ref="G22">_xlfn.CONCAT(
IFERROR(_xlfn.CONCAT(_xlfn._xlws.FILTER(Mapping_Devices_Workstation_Laptop[Scope],Mapping_Devices_Workstation_Laptop[NIST Control]=B22)&amp;CHAR(10)),""),
IFERROR(_xlfn.CONCAT(_xlfn._xlws.FILTER(#REF!,#REF!=B22)&amp;CHAR(10)),""),
IFERROR(_xlfn.CONCAT(_xlfn._xlws.FILTER(Mapping_Devices_Screens[Scope],Mapping_Devices_Screens[NIST Control]=B22)&amp;CHAR(10)),""),
IFERROR(_xlfn.CONCAT(_xlfn._xlws.FILTER(Mapping_Devices_Smartphone[Scope],Mapping_Devices_Smartphone[NIST Control]=B22)&amp;CHAR(10)),"")
)</f>
        <v/>
      </c>
      <c r="H22" s="190">
        <f>SUMIF(Mapping_Appliance[NIST Control],B22,Mapping_Appliance[Total emissions (kgC02e)])</f>
        <v>0</v>
      </c>
      <c r="I22" s="191" t="str" cm="1">
        <f t="array" ref="I22">IFERROR(_xlfn.CONCAT(_xlfn._xlws.FILTER(Mapping_Appliance[Scope],Mapping_Appliance[NIST Control]=B22)&amp;CHAR(10)),"")</f>
        <v/>
      </c>
      <c r="J22" s="190">
        <f>SUMIF(Mapping_Servers_Backup[NIST Control],B22,Mapping_Servers_Backup[Total emissions (kgC02e)])</f>
        <v>0</v>
      </c>
      <c r="K22" s="191" t="str" cm="1">
        <f t="array" ref="K22">_xlfn.CONCAT(
IFERROR(_xlfn.CONCAT(_xlfn._xlws.FILTER(Mapping_Non_Cyber_Servers[Scope],Mapping_Non_Cyber_Servers[NIST Control]=B22)&amp;CHAR(10)),""),
IFERROR(_xlfn.CONCAT(_xlfn._xlws.FILTER(Mapping_Servers_Backup[Scope],Mapping_Servers_Backup[NIST Control]=B22)&amp;CHAR(10)),""),
)</f>
        <v/>
      </c>
      <c r="L22" s="190">
        <f>SUMIF(Mapping_Solutions_On_Premise[NIST Control],B22,Mapping_Solutions_On_Premise[Total NIST carbon emission (kgCO2e)])
+SUMIF(Mapping_Solutions_Cloud[NIST Control],B22,Mapping_Solutions_Cloud[Total NIST carbon emission (kgCO2e)])</f>
        <v>1615200.9471719626</v>
      </c>
      <c r="M22" s="191" t="str" cm="1">
        <f t="array" ref="M22">_xlfn.CONCAT(
IFERROR(_xlfn.CONCAT(_xlfn._xlws.FILTER(Mapping_Solutions_On_Premise[Application name],#REF!=B22)&amp;CHAR(10)),""),
IFERROR(_xlfn.CONCAT(_xlfn._xlws.FILTER(Mapping_Solutions_Cloud[Application name],#REF!=B22)&amp;CHAR(10)),"")
)</f>
        <v/>
      </c>
      <c r="N22" s="190">
        <f>SUMIF(Mapping_Externals_TM[NIST Control],B22,Mapping_Externals_TM[NIST carbon emission (kgCO2e)])
+SUMIF(Mapping_Externals_Fixed_Price[NIST Control],B22,Mapping_Externals_Fixed_Price[NIST carbon emission (kgCO2e)])</f>
        <v>7441.8396597186011</v>
      </c>
      <c r="O22" s="191" t="str" cm="1">
        <f t="array" ref="O22">_xlfn.CONCAT(
IFERROR(_xlfn.CONCAT(_xlfn._xlws.FILTER(Mapping_Externals_TM[Service name],#REF!=B22)&amp;CHAR(10)),""),
IFERROR(_xlfn.CONCAT(_xlfn._xlws.FILTER(Mapping_Externals_Fixed_Price[Service name],#REF!=B22)&amp;CHAR(10)),""))</f>
        <v/>
      </c>
      <c r="P22" s="190">
        <f>SUMIF(Mapping_Travel[NIST Control],B22,Mapping_Travel[Total emissions (kgC02e)])</f>
        <v>0</v>
      </c>
      <c r="Q22" s="192" t="str" cm="1">
        <f t="array" ref="Q22">IFERROR(_xlfn.CONCAT(_xlfn._xlws.FILTER(Mapping_Travel[Type of transportation],Mapping_Travel[NIST Control]=B22)&amp;CHAR(10)),"")</f>
        <v/>
      </c>
      <c r="R22" s="190">
        <f>SUMIF(Mapping_Non_Cyber_Workstation_Laptop[NIST Control],B22,Mapping_Non_Cyber_Workstation_Laptop[Total emissions (kgC02e)])
+SUMIF(Mapping_Non_Cyber_Workstation_Desktop[NIST Control],B22,Mapping_Non_Cyber_Workstation_Desktop[Total emissions (kgC02e)])
+SUMIF(Mapping_Non_Cyber_VDI[NIST Control],B22,Mapping_Non_Cyber_VDI[Total emissions (kgC02e)])
+SUMIF(Mapping_Non_Cyber_Servers[NIST Control],B22,Mapping_Non_Cyber_Servers[Total emissions (kgC02e)])</f>
        <v>0</v>
      </c>
      <c r="S22" s="191" t="str" cm="1">
        <f t="array" ref="S22">_xlfn.CONCAT(
IFERROR(_xlfn.CONCAT(_xlfn._xlws.FILTER(Mapping_Non_Cyber_Workstation_Laptop[Scope],Mapping_Non_Cyber_Workstation_Laptop[NIST Control]=B22)&amp;CHAR(10)),""),
IFERROR(_xlfn.CONCAT(_xlfn._xlws.FILTER(Mapping_Non_Cyber_Workstation_Desktop[Scope],Mapping_Non_Cyber_Workstation_Desktop[NIST Control]=B22)&amp;CHAR(10)),""),
IFERROR(_xlfn.CONCAT(_xlfn._xlws.FILTER(Mapping_Non_Cyber_VDI[Scope],Mapping_Non_Cyber_VDI[NIST Control]=B22)&amp;CHAR(10)),""),
IFERROR(_xlfn.CONCAT(_xlfn._xlws.FILTER(Mapping_Non_Cyber_Servers[Scope],Mapping_Non_Cyber_Servers[NIST Control]=B22)&amp;CHAR(10)),"")
)</f>
        <v/>
      </c>
    </row>
    <row r="23" spans="1:19">
      <c r="A23" s="27" t="s">
        <v>15</v>
      </c>
      <c r="B23" s="134" t="s">
        <v>35</v>
      </c>
      <c r="C23" s="27" t="s">
        <v>36</v>
      </c>
      <c r="D23"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23" s="33">
        <f>Dashboard_Per_Control[[#This Row],[Total yearly CO2e emissions (kgCO2e)]]/(1000*Total)</f>
        <v>0</v>
      </c>
      <c r="F23" s="190">
        <f xml:space="preserve">
SUMIF(Mapping_Devices_Workstation_Laptop[NIST Control],B23,Mapping_Devices_Workstation_Laptop[Total emissions (kgC02e)])
+SUMIF(Mapping_Devices_Workstation_Desktop[NIST Control],B23,Mapping_Devices_Workstation_Desktop[Total emissions (kgC02e)])
+SUMIF(Mapping_Devices_Screens[NIST Control],B23,Mapping_Devices_Screens[Total emissions (kgC02e)])+SUMIF(Mapping_Devices_Smartphone[NIST Control],B23,Mapping_Devices_Smartphone[Total emissions (kgC02e)])</f>
        <v>0</v>
      </c>
      <c r="G23" s="191" t="str" cm="1">
        <f t="array" ref="G23">_xlfn.CONCAT(
IFERROR(_xlfn.CONCAT(_xlfn._xlws.FILTER(Mapping_Devices_Workstation_Laptop[Scope],Mapping_Devices_Workstation_Laptop[NIST Control]=B23)&amp;CHAR(10)),""),
IFERROR(_xlfn.CONCAT(_xlfn._xlws.FILTER(#REF!,#REF!=B23)&amp;CHAR(10)),""),
IFERROR(_xlfn.CONCAT(_xlfn._xlws.FILTER(Mapping_Devices_Screens[Scope],Mapping_Devices_Screens[NIST Control]=B23)&amp;CHAR(10)),""),
IFERROR(_xlfn.CONCAT(_xlfn._xlws.FILTER(Mapping_Devices_Smartphone[Scope],Mapping_Devices_Smartphone[NIST Control]=B23)&amp;CHAR(10)),"")
)</f>
        <v/>
      </c>
      <c r="H23" s="190">
        <f>SUMIF(Mapping_Appliance[NIST Control],B23,Mapping_Appliance[Total emissions (kgC02e)])</f>
        <v>0</v>
      </c>
      <c r="I23" s="191" t="str" cm="1">
        <f t="array" ref="I23">IFERROR(_xlfn.CONCAT(_xlfn._xlws.FILTER(Mapping_Appliance[Scope],Mapping_Appliance[NIST Control]=B23)&amp;CHAR(10)),"")</f>
        <v/>
      </c>
      <c r="J23" s="190">
        <f>SUMIF(Mapping_Servers_Backup[NIST Control],B23,Mapping_Servers_Backup[Total emissions (kgC02e)])</f>
        <v>0</v>
      </c>
      <c r="K23" s="191" t="str" cm="1">
        <f t="array" ref="K23">_xlfn.CONCAT(
IFERROR(_xlfn.CONCAT(_xlfn._xlws.FILTER(Mapping_Non_Cyber_Servers[Scope],Mapping_Non_Cyber_Servers[NIST Control]=B23)&amp;CHAR(10)),""),
IFERROR(_xlfn.CONCAT(_xlfn._xlws.FILTER(Mapping_Servers_Backup[Scope],Mapping_Servers_Backup[NIST Control]=B23)&amp;CHAR(10)),""),
)</f>
        <v/>
      </c>
      <c r="L23" s="190">
        <f>SUMIF(Mapping_Solutions_On_Premise[NIST Control],B23,Mapping_Solutions_On_Premise[Total NIST carbon emission (kgCO2e)])
+SUMIF(Mapping_Solutions_Cloud[NIST Control],B23,Mapping_Solutions_Cloud[Total NIST carbon emission (kgCO2e)])</f>
        <v>0</v>
      </c>
      <c r="M23" s="191" t="str" cm="1">
        <f t="array" ref="M23">_xlfn.CONCAT(
IFERROR(_xlfn.CONCAT(_xlfn._xlws.FILTER(Mapping_Solutions_On_Premise[Application name],#REF!=B23)&amp;CHAR(10)),""),
IFERROR(_xlfn.CONCAT(_xlfn._xlws.FILTER(Mapping_Solutions_Cloud[Application name],#REF!=B23)&amp;CHAR(10)),"")
)</f>
        <v/>
      </c>
      <c r="N23" s="190">
        <f>SUMIF(Mapping_Externals_TM[NIST Control],B23,Mapping_Externals_TM[NIST carbon emission (kgCO2e)])
+SUMIF(Mapping_Externals_Fixed_Price[NIST Control],B23,Mapping_Externals_Fixed_Price[NIST carbon emission (kgCO2e)])</f>
        <v>0</v>
      </c>
      <c r="O23" s="191" t="str" cm="1">
        <f t="array" ref="O23">_xlfn.CONCAT(
IFERROR(_xlfn.CONCAT(_xlfn._xlws.FILTER(Mapping_Externals_TM[Service name],#REF!=B23)&amp;CHAR(10)),""),
IFERROR(_xlfn.CONCAT(_xlfn._xlws.FILTER(Mapping_Externals_Fixed_Price[Service name],#REF!=B23)&amp;CHAR(10)),""))</f>
        <v/>
      </c>
      <c r="P23" s="190">
        <f>SUMIF(Mapping_Travel[NIST Control],B23,Mapping_Travel[Total emissions (kgC02e)])</f>
        <v>0</v>
      </c>
      <c r="Q23" s="192" t="str" cm="1">
        <f t="array" ref="Q23">IFERROR(_xlfn.CONCAT(_xlfn._xlws.FILTER(Mapping_Travel[Type of transportation],Mapping_Travel[NIST Control]=B23)&amp;CHAR(10)),"")</f>
        <v/>
      </c>
      <c r="R23" s="190">
        <f>SUMIF(Mapping_Non_Cyber_Workstation_Laptop[NIST Control],B23,Mapping_Non_Cyber_Workstation_Laptop[Total emissions (kgC02e)])
+SUMIF(Mapping_Non_Cyber_Workstation_Desktop[NIST Control],B23,Mapping_Non_Cyber_Workstation_Desktop[Total emissions (kgC02e)])
+SUMIF(Mapping_Non_Cyber_VDI[NIST Control],B23,Mapping_Non_Cyber_VDI[Total emissions (kgC02e)])
+SUMIF(Mapping_Non_Cyber_Servers[NIST Control],B23,Mapping_Non_Cyber_Servers[Total emissions (kgC02e)])</f>
        <v>0</v>
      </c>
      <c r="S23" s="191" t="str" cm="1">
        <f t="array" ref="S23">_xlfn.CONCAT(
IFERROR(_xlfn.CONCAT(_xlfn._xlws.FILTER(Mapping_Non_Cyber_Workstation_Laptop[Scope],Mapping_Non_Cyber_Workstation_Laptop[NIST Control]=B23)&amp;CHAR(10)),""),
IFERROR(_xlfn.CONCAT(_xlfn._xlws.FILTER(Mapping_Non_Cyber_Workstation_Desktop[Scope],Mapping_Non_Cyber_Workstation_Desktop[NIST Control]=B23)&amp;CHAR(10)),""),
IFERROR(_xlfn.CONCAT(_xlfn._xlws.FILTER(Mapping_Non_Cyber_VDI[Scope],Mapping_Non_Cyber_VDI[NIST Control]=B23)&amp;CHAR(10)),""),
IFERROR(_xlfn.CONCAT(_xlfn._xlws.FILTER(Mapping_Non_Cyber_Servers[Scope],Mapping_Non_Cyber_Servers[NIST Control]=B23)&amp;CHAR(10)),"")
)</f>
        <v/>
      </c>
    </row>
    <row r="24" spans="1:19" ht="29.1">
      <c r="A24" s="27" t="s">
        <v>15</v>
      </c>
      <c r="B24" s="134" t="s">
        <v>37</v>
      </c>
      <c r="C24" s="27" t="s">
        <v>718</v>
      </c>
      <c r="D24"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24" s="33">
        <f>Dashboard_Per_Control[[#This Row],[Total yearly CO2e emissions (kgCO2e)]]/(1000*Total)</f>
        <v>0</v>
      </c>
      <c r="F24" s="190">
        <f xml:space="preserve">
SUMIF(Mapping_Devices_Workstation_Laptop[NIST Control],B24,Mapping_Devices_Workstation_Laptop[Total emissions (kgC02e)])
+SUMIF(Mapping_Devices_Workstation_Desktop[NIST Control],B24,Mapping_Devices_Workstation_Desktop[Total emissions (kgC02e)])
+SUMIF(Mapping_Devices_Screens[NIST Control],B24,Mapping_Devices_Screens[Total emissions (kgC02e)])+SUMIF(Mapping_Devices_Smartphone[NIST Control],B24,Mapping_Devices_Smartphone[Total emissions (kgC02e)])</f>
        <v>0</v>
      </c>
      <c r="G24" s="191" t="str" cm="1">
        <f t="array" ref="G24">_xlfn.CONCAT(
IFERROR(_xlfn.CONCAT(_xlfn._xlws.FILTER(Mapping_Devices_Workstation_Laptop[Scope],Mapping_Devices_Workstation_Laptop[NIST Control]=B24)&amp;CHAR(10)),""),
IFERROR(_xlfn.CONCAT(_xlfn._xlws.FILTER(#REF!,#REF!=B24)&amp;CHAR(10)),""),
IFERROR(_xlfn.CONCAT(_xlfn._xlws.FILTER(Mapping_Devices_Screens[Scope],Mapping_Devices_Screens[NIST Control]=B24)&amp;CHAR(10)),""),
IFERROR(_xlfn.CONCAT(_xlfn._xlws.FILTER(Mapping_Devices_Smartphone[Scope],Mapping_Devices_Smartphone[NIST Control]=B24)&amp;CHAR(10)),"")
)</f>
        <v/>
      </c>
      <c r="H24" s="190">
        <f>SUMIF(Mapping_Appliance[NIST Control],B24,Mapping_Appliance[Total emissions (kgC02e)])</f>
        <v>0</v>
      </c>
      <c r="I24" s="191" t="str" cm="1">
        <f t="array" ref="I24">IFERROR(_xlfn.CONCAT(_xlfn._xlws.FILTER(Mapping_Appliance[Scope],Mapping_Appliance[NIST Control]=B24)&amp;CHAR(10)),"")</f>
        <v/>
      </c>
      <c r="J24" s="190">
        <f>SUMIF(Mapping_Servers_Backup[NIST Control],B24,Mapping_Servers_Backup[Total emissions (kgC02e)])</f>
        <v>0</v>
      </c>
      <c r="K24" s="191" t="str" cm="1">
        <f t="array" ref="K24">_xlfn.CONCAT(
IFERROR(_xlfn.CONCAT(_xlfn._xlws.FILTER(Mapping_Non_Cyber_Servers[Scope],Mapping_Non_Cyber_Servers[NIST Control]=B24)&amp;CHAR(10)),""),
IFERROR(_xlfn.CONCAT(_xlfn._xlws.FILTER(Mapping_Servers_Backup[Scope],Mapping_Servers_Backup[NIST Control]=B24)&amp;CHAR(10)),""),
)</f>
        <v/>
      </c>
      <c r="L24" s="190">
        <f>SUMIF(Mapping_Solutions_On_Premise[NIST Control],B24,Mapping_Solutions_On_Premise[Total NIST carbon emission (kgCO2e)])
+SUMIF(Mapping_Solutions_Cloud[NIST Control],B24,Mapping_Solutions_Cloud[Total NIST carbon emission (kgCO2e)])</f>
        <v>0</v>
      </c>
      <c r="M24" s="191" t="str" cm="1">
        <f t="array" ref="M24">_xlfn.CONCAT(
IFERROR(_xlfn.CONCAT(_xlfn._xlws.FILTER(Mapping_Solutions_On_Premise[Application name],#REF!=B24)&amp;CHAR(10)),""),
IFERROR(_xlfn.CONCAT(_xlfn._xlws.FILTER(Mapping_Solutions_Cloud[Application name],#REF!=B24)&amp;CHAR(10)),"")
)</f>
        <v/>
      </c>
      <c r="N24" s="190">
        <f>SUMIF(Mapping_Externals_TM[NIST Control],B24,Mapping_Externals_TM[NIST carbon emission (kgCO2e)])
+SUMIF(Mapping_Externals_Fixed_Price[NIST Control],B24,Mapping_Externals_Fixed_Price[NIST carbon emission (kgCO2e)])</f>
        <v>0</v>
      </c>
      <c r="O24" s="191" t="str" cm="1">
        <f t="array" ref="O24">_xlfn.CONCAT(
IFERROR(_xlfn.CONCAT(_xlfn._xlws.FILTER(Mapping_Externals_TM[Service name],#REF!=B24)&amp;CHAR(10)),""),
IFERROR(_xlfn.CONCAT(_xlfn._xlws.FILTER(Mapping_Externals_Fixed_Price[Service name],#REF!=B24)&amp;CHAR(10)),""))</f>
        <v/>
      </c>
      <c r="P24" s="190">
        <f>SUMIF(Mapping_Travel[NIST Control],B24,Mapping_Travel[Total emissions (kgC02e)])</f>
        <v>0</v>
      </c>
      <c r="Q24" s="192" t="str" cm="1">
        <f t="array" ref="Q24">IFERROR(_xlfn.CONCAT(_xlfn._xlws.FILTER(Mapping_Travel[Type of transportation],Mapping_Travel[NIST Control]=B24)&amp;CHAR(10)),"")</f>
        <v/>
      </c>
      <c r="R24" s="190">
        <f>SUMIF(Mapping_Non_Cyber_Workstation_Laptop[NIST Control],B24,Mapping_Non_Cyber_Workstation_Laptop[Total emissions (kgC02e)])
+SUMIF(Mapping_Non_Cyber_Workstation_Desktop[NIST Control],B24,Mapping_Non_Cyber_Workstation_Desktop[Total emissions (kgC02e)])
+SUMIF(Mapping_Non_Cyber_VDI[NIST Control],B24,Mapping_Non_Cyber_VDI[Total emissions (kgC02e)])
+SUMIF(Mapping_Non_Cyber_Servers[NIST Control],B24,Mapping_Non_Cyber_Servers[Total emissions (kgC02e)])</f>
        <v>0</v>
      </c>
      <c r="S24" s="191" t="str" cm="1">
        <f t="array" ref="S24">_xlfn.CONCAT(
IFERROR(_xlfn.CONCAT(_xlfn._xlws.FILTER(Mapping_Non_Cyber_Workstation_Laptop[Scope],Mapping_Non_Cyber_Workstation_Laptop[NIST Control]=B24)&amp;CHAR(10)),""),
IFERROR(_xlfn.CONCAT(_xlfn._xlws.FILTER(Mapping_Non_Cyber_Workstation_Desktop[Scope],Mapping_Non_Cyber_Workstation_Desktop[NIST Control]=B24)&amp;CHAR(10)),""),
IFERROR(_xlfn.CONCAT(_xlfn._xlws.FILTER(Mapping_Non_Cyber_VDI[Scope],Mapping_Non_Cyber_VDI[NIST Control]=B24)&amp;CHAR(10)),""),
IFERROR(_xlfn.CONCAT(_xlfn._xlws.FILTER(Mapping_Non_Cyber_Servers[Scope],Mapping_Non_Cyber_Servers[NIST Control]=B24)&amp;CHAR(10)),"")
)</f>
        <v/>
      </c>
    </row>
    <row r="25" spans="1:19" ht="29.1">
      <c r="A25" s="27" t="s">
        <v>16</v>
      </c>
      <c r="B25" s="134" t="s">
        <v>39</v>
      </c>
      <c r="C25" s="28" t="s">
        <v>719</v>
      </c>
      <c r="D25"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25" s="33">
        <f>Dashboard_Per_Control[[#This Row],[Total yearly CO2e emissions (kgCO2e)]]/(1000*Total)</f>
        <v>0</v>
      </c>
      <c r="F25" s="190">
        <f xml:space="preserve">
SUMIF(Mapping_Devices_Workstation_Laptop[NIST Control],B25,Mapping_Devices_Workstation_Laptop[Total emissions (kgC02e)])
+SUMIF(Mapping_Devices_Workstation_Desktop[NIST Control],B25,Mapping_Devices_Workstation_Desktop[Total emissions (kgC02e)])
+SUMIF(Mapping_Devices_Screens[NIST Control],B25,Mapping_Devices_Screens[Total emissions (kgC02e)])+SUMIF(Mapping_Devices_Smartphone[NIST Control],B25,Mapping_Devices_Smartphone[Total emissions (kgC02e)])</f>
        <v>0</v>
      </c>
      <c r="G25" s="191" t="str" cm="1">
        <f t="array" ref="G25">_xlfn.CONCAT(
IFERROR(_xlfn.CONCAT(_xlfn._xlws.FILTER(Mapping_Devices_Workstation_Laptop[Scope],Mapping_Devices_Workstation_Laptop[NIST Control]=B25)&amp;CHAR(10)),""),
IFERROR(_xlfn.CONCAT(_xlfn._xlws.FILTER(#REF!,#REF!=B25)&amp;CHAR(10)),""),
IFERROR(_xlfn.CONCAT(_xlfn._xlws.FILTER(Mapping_Devices_Screens[Scope],Mapping_Devices_Screens[NIST Control]=B25)&amp;CHAR(10)),""),
IFERROR(_xlfn.CONCAT(_xlfn._xlws.FILTER(Mapping_Devices_Smartphone[Scope],Mapping_Devices_Smartphone[NIST Control]=B25)&amp;CHAR(10)),"")
)</f>
        <v/>
      </c>
      <c r="H25" s="190">
        <f>SUMIF(Mapping_Appliance[NIST Control],B25,Mapping_Appliance[Total emissions (kgC02e)])</f>
        <v>0</v>
      </c>
      <c r="I25" s="191" t="str" cm="1">
        <f t="array" ref="I25">IFERROR(_xlfn.CONCAT(_xlfn._xlws.FILTER(Mapping_Appliance[Scope],Mapping_Appliance[NIST Control]=B25)&amp;CHAR(10)),"")</f>
        <v/>
      </c>
      <c r="J25" s="190">
        <f>SUMIF(Mapping_Servers_Backup[NIST Control],B25,Mapping_Servers_Backup[Total emissions (kgC02e)])</f>
        <v>0</v>
      </c>
      <c r="K25" s="191" t="str" cm="1">
        <f t="array" ref="K25">_xlfn.CONCAT(
IFERROR(_xlfn.CONCAT(_xlfn._xlws.FILTER(Mapping_Non_Cyber_Servers[Scope],Mapping_Non_Cyber_Servers[NIST Control]=B25)&amp;CHAR(10)),""),
IFERROR(_xlfn.CONCAT(_xlfn._xlws.FILTER(Mapping_Servers_Backup[Scope],Mapping_Servers_Backup[NIST Control]=B25)&amp;CHAR(10)),""),
)</f>
        <v/>
      </c>
      <c r="L25" s="190">
        <f>SUMIF(Mapping_Solutions_On_Premise[NIST Control],B25,Mapping_Solutions_On_Premise[Total NIST carbon emission (kgCO2e)])
+SUMIF(Mapping_Solutions_Cloud[NIST Control],B25,Mapping_Solutions_Cloud[Total NIST carbon emission (kgCO2e)])</f>
        <v>0</v>
      </c>
      <c r="M25" s="191" t="str" cm="1">
        <f t="array" ref="M25">_xlfn.CONCAT(
IFERROR(_xlfn.CONCAT(_xlfn._xlws.FILTER(Mapping_Solutions_On_Premise[Application name],#REF!=B25)&amp;CHAR(10)),""),
IFERROR(_xlfn.CONCAT(_xlfn._xlws.FILTER(Mapping_Solutions_Cloud[Application name],#REF!=B25)&amp;CHAR(10)),"")
)</f>
        <v/>
      </c>
      <c r="N25" s="190">
        <f>SUMIF(Mapping_Externals_TM[NIST Control],B25,Mapping_Externals_TM[NIST carbon emission (kgCO2e)])
+SUMIF(Mapping_Externals_Fixed_Price[NIST Control],B25,Mapping_Externals_Fixed_Price[NIST carbon emission (kgCO2e)])</f>
        <v>0</v>
      </c>
      <c r="O25" s="191" t="str" cm="1">
        <f t="array" ref="O25">_xlfn.CONCAT(
IFERROR(_xlfn.CONCAT(_xlfn._xlws.FILTER(Mapping_Externals_TM[Service name],#REF!=B25)&amp;CHAR(10)),""),
IFERROR(_xlfn.CONCAT(_xlfn._xlws.FILTER(Mapping_Externals_Fixed_Price[Service name],#REF!=B25)&amp;CHAR(10)),""))</f>
        <v/>
      </c>
      <c r="P25" s="190">
        <f>SUMIF(Mapping_Travel[NIST Control],B25,Mapping_Travel[Total emissions (kgC02e)])</f>
        <v>0</v>
      </c>
      <c r="Q25" s="192" t="str" cm="1">
        <f t="array" ref="Q25">IFERROR(_xlfn.CONCAT(_xlfn._xlws.FILTER(Mapping_Travel[Type of transportation],Mapping_Travel[NIST Control]=B25)&amp;CHAR(10)),"")</f>
        <v/>
      </c>
      <c r="R25" s="190">
        <f>SUMIF(Mapping_Non_Cyber_Workstation_Laptop[NIST Control],B25,Mapping_Non_Cyber_Workstation_Laptop[Total emissions (kgC02e)])
+SUMIF(Mapping_Non_Cyber_Workstation_Desktop[NIST Control],B25,Mapping_Non_Cyber_Workstation_Desktop[Total emissions (kgC02e)])
+SUMIF(Mapping_Non_Cyber_VDI[NIST Control],B25,Mapping_Non_Cyber_VDI[Total emissions (kgC02e)])
+SUMIF(Mapping_Non_Cyber_Servers[NIST Control],B25,Mapping_Non_Cyber_Servers[Total emissions (kgC02e)])</f>
        <v>0</v>
      </c>
      <c r="S25" s="191" t="str" cm="1">
        <f t="array" ref="S25">_xlfn.CONCAT(
IFERROR(_xlfn.CONCAT(_xlfn._xlws.FILTER(Mapping_Non_Cyber_Workstation_Laptop[Scope],Mapping_Non_Cyber_Workstation_Laptop[NIST Control]=B25)&amp;CHAR(10)),""),
IFERROR(_xlfn.CONCAT(_xlfn._xlws.FILTER(Mapping_Non_Cyber_Workstation_Desktop[Scope],Mapping_Non_Cyber_Workstation_Desktop[NIST Control]=B25)&amp;CHAR(10)),""),
IFERROR(_xlfn.CONCAT(_xlfn._xlws.FILTER(Mapping_Non_Cyber_VDI[Scope],Mapping_Non_Cyber_VDI[NIST Control]=B25)&amp;CHAR(10)),""),
IFERROR(_xlfn.CONCAT(_xlfn._xlws.FILTER(Mapping_Non_Cyber_Servers[Scope],Mapping_Non_Cyber_Servers[NIST Control]=B25)&amp;CHAR(10)),"")
)</f>
        <v/>
      </c>
    </row>
    <row r="26" spans="1:19">
      <c r="A26" s="27" t="s">
        <v>16</v>
      </c>
      <c r="B26" s="134" t="s">
        <v>41</v>
      </c>
      <c r="C26" s="27" t="s">
        <v>720</v>
      </c>
      <c r="D26"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26" s="33">
        <f>Dashboard_Per_Control[[#This Row],[Total yearly CO2e emissions (kgCO2e)]]/(1000*Total)</f>
        <v>0</v>
      </c>
      <c r="F26" s="190">
        <f xml:space="preserve">
SUMIF(Mapping_Devices_Workstation_Laptop[NIST Control],B26,Mapping_Devices_Workstation_Laptop[Total emissions (kgC02e)])
+SUMIF(Mapping_Devices_Workstation_Desktop[NIST Control],B26,Mapping_Devices_Workstation_Desktop[Total emissions (kgC02e)])
+SUMIF(Mapping_Devices_Screens[NIST Control],B26,Mapping_Devices_Screens[Total emissions (kgC02e)])+SUMIF(Mapping_Devices_Smartphone[NIST Control],B26,Mapping_Devices_Smartphone[Total emissions (kgC02e)])</f>
        <v>0</v>
      </c>
      <c r="G26" s="191" t="str" cm="1">
        <f t="array" ref="G26">_xlfn.CONCAT(
IFERROR(_xlfn.CONCAT(_xlfn._xlws.FILTER(Mapping_Devices_Workstation_Laptop[Scope],Mapping_Devices_Workstation_Laptop[NIST Control]=B26)&amp;CHAR(10)),""),
IFERROR(_xlfn.CONCAT(_xlfn._xlws.FILTER(#REF!,#REF!=B26)&amp;CHAR(10)),""),
IFERROR(_xlfn.CONCAT(_xlfn._xlws.FILTER(Mapping_Devices_Screens[Scope],Mapping_Devices_Screens[NIST Control]=B26)&amp;CHAR(10)),""),
IFERROR(_xlfn.CONCAT(_xlfn._xlws.FILTER(Mapping_Devices_Smartphone[Scope],Mapping_Devices_Smartphone[NIST Control]=B26)&amp;CHAR(10)),"")
)</f>
        <v/>
      </c>
      <c r="H26" s="190">
        <f>SUMIF(Mapping_Appliance[NIST Control],B26,Mapping_Appliance[Total emissions (kgC02e)])</f>
        <v>0</v>
      </c>
      <c r="I26" s="191" t="str" cm="1">
        <f t="array" ref="I26">IFERROR(_xlfn.CONCAT(_xlfn._xlws.FILTER(Mapping_Appliance[Scope],Mapping_Appliance[NIST Control]=B26)&amp;CHAR(10)),"")</f>
        <v/>
      </c>
      <c r="J26" s="190">
        <f>SUMIF(Mapping_Servers_Backup[NIST Control],B26,Mapping_Servers_Backup[Total emissions (kgC02e)])</f>
        <v>0</v>
      </c>
      <c r="K26" s="191" t="str" cm="1">
        <f t="array" ref="K26">_xlfn.CONCAT(
IFERROR(_xlfn.CONCAT(_xlfn._xlws.FILTER(Mapping_Non_Cyber_Servers[Scope],Mapping_Non_Cyber_Servers[NIST Control]=B26)&amp;CHAR(10)),""),
IFERROR(_xlfn.CONCAT(_xlfn._xlws.FILTER(Mapping_Servers_Backup[Scope],Mapping_Servers_Backup[NIST Control]=B26)&amp;CHAR(10)),""),
)</f>
        <v/>
      </c>
      <c r="L26" s="190">
        <f>SUMIF(Mapping_Solutions_On_Premise[NIST Control],B26,Mapping_Solutions_On_Premise[Total NIST carbon emission (kgCO2e)])
+SUMIF(Mapping_Solutions_Cloud[NIST Control],B26,Mapping_Solutions_Cloud[Total NIST carbon emission (kgCO2e)])</f>
        <v>0</v>
      </c>
      <c r="M26" s="191" t="str" cm="1">
        <f t="array" ref="M26">_xlfn.CONCAT(
IFERROR(_xlfn.CONCAT(_xlfn._xlws.FILTER(Mapping_Solutions_On_Premise[Application name],#REF!=B26)&amp;CHAR(10)),""),
IFERROR(_xlfn.CONCAT(_xlfn._xlws.FILTER(Mapping_Solutions_Cloud[Application name],#REF!=B26)&amp;CHAR(10)),"")
)</f>
        <v/>
      </c>
      <c r="N26" s="190">
        <f>SUMIF(Mapping_Externals_TM[NIST Control],B26,Mapping_Externals_TM[NIST carbon emission (kgCO2e)])
+SUMIF(Mapping_Externals_Fixed_Price[NIST Control],B26,Mapping_Externals_Fixed_Price[NIST carbon emission (kgCO2e)])</f>
        <v>0</v>
      </c>
      <c r="O26" s="191" t="str" cm="1">
        <f t="array" ref="O26">_xlfn.CONCAT(
IFERROR(_xlfn.CONCAT(_xlfn._xlws.FILTER(Mapping_Externals_TM[Service name],#REF!=B26)&amp;CHAR(10)),""),
IFERROR(_xlfn.CONCAT(_xlfn._xlws.FILTER(Mapping_Externals_Fixed_Price[Service name],#REF!=B26)&amp;CHAR(10)),""))</f>
        <v/>
      </c>
      <c r="P26" s="190">
        <f>SUMIF(Mapping_Travel[NIST Control],B26,Mapping_Travel[Total emissions (kgC02e)])</f>
        <v>0</v>
      </c>
      <c r="Q26" s="192" t="str" cm="1">
        <f t="array" ref="Q26">IFERROR(_xlfn.CONCAT(_xlfn._xlws.FILTER(Mapping_Travel[Type of transportation],Mapping_Travel[NIST Control]=B26)&amp;CHAR(10)),"")</f>
        <v/>
      </c>
      <c r="R26" s="190">
        <f>SUMIF(Mapping_Non_Cyber_Workstation_Laptop[NIST Control],B26,Mapping_Non_Cyber_Workstation_Laptop[Total emissions (kgC02e)])
+SUMIF(Mapping_Non_Cyber_Workstation_Desktop[NIST Control],B26,Mapping_Non_Cyber_Workstation_Desktop[Total emissions (kgC02e)])
+SUMIF(Mapping_Non_Cyber_VDI[NIST Control],B26,Mapping_Non_Cyber_VDI[Total emissions (kgC02e)])
+SUMIF(Mapping_Non_Cyber_Servers[NIST Control],B26,Mapping_Non_Cyber_Servers[Total emissions (kgC02e)])</f>
        <v>0</v>
      </c>
      <c r="S26" s="191" t="str" cm="1">
        <f t="array" ref="S26">_xlfn.CONCAT(
IFERROR(_xlfn.CONCAT(_xlfn._xlws.FILTER(Mapping_Non_Cyber_Workstation_Laptop[Scope],Mapping_Non_Cyber_Workstation_Laptop[NIST Control]=B26)&amp;CHAR(10)),""),
IFERROR(_xlfn.CONCAT(_xlfn._xlws.FILTER(Mapping_Non_Cyber_Workstation_Desktop[Scope],Mapping_Non_Cyber_Workstation_Desktop[NIST Control]=B26)&amp;CHAR(10)),""),
IFERROR(_xlfn.CONCAT(_xlfn._xlws.FILTER(Mapping_Non_Cyber_VDI[Scope],Mapping_Non_Cyber_VDI[NIST Control]=B26)&amp;CHAR(10)),""),
IFERROR(_xlfn.CONCAT(_xlfn._xlws.FILTER(Mapping_Non_Cyber_Servers[Scope],Mapping_Non_Cyber_Servers[NIST Control]=B26)&amp;CHAR(10)),"")
)</f>
        <v/>
      </c>
    </row>
    <row r="27" spans="1:19">
      <c r="A27" s="27" t="s">
        <v>16</v>
      </c>
      <c r="B27" s="134" t="s">
        <v>43</v>
      </c>
      <c r="C27" s="27" t="s">
        <v>721</v>
      </c>
      <c r="D27"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27" s="33">
        <f>Dashboard_Per_Control[[#This Row],[Total yearly CO2e emissions (kgCO2e)]]/(1000*Total)</f>
        <v>0</v>
      </c>
      <c r="F27" s="190">
        <f xml:space="preserve">
SUMIF(Mapping_Devices_Workstation_Laptop[NIST Control],B27,Mapping_Devices_Workstation_Laptop[Total emissions (kgC02e)])
+SUMIF(Mapping_Devices_Workstation_Desktop[NIST Control],B27,Mapping_Devices_Workstation_Desktop[Total emissions (kgC02e)])
+SUMIF(Mapping_Devices_Screens[NIST Control],B27,Mapping_Devices_Screens[Total emissions (kgC02e)])+SUMIF(Mapping_Devices_Smartphone[NIST Control],B27,Mapping_Devices_Smartphone[Total emissions (kgC02e)])</f>
        <v>0</v>
      </c>
      <c r="G27" s="191" t="str" cm="1">
        <f t="array" ref="G27">_xlfn.CONCAT(
IFERROR(_xlfn.CONCAT(_xlfn._xlws.FILTER(Mapping_Devices_Workstation_Laptop[Scope],Mapping_Devices_Workstation_Laptop[NIST Control]=B27)&amp;CHAR(10)),""),
IFERROR(_xlfn.CONCAT(_xlfn._xlws.FILTER(#REF!,#REF!=B27)&amp;CHAR(10)),""),
IFERROR(_xlfn.CONCAT(_xlfn._xlws.FILTER(Mapping_Devices_Screens[Scope],Mapping_Devices_Screens[NIST Control]=B27)&amp;CHAR(10)),""),
IFERROR(_xlfn.CONCAT(_xlfn._xlws.FILTER(Mapping_Devices_Smartphone[Scope],Mapping_Devices_Smartphone[NIST Control]=B27)&amp;CHAR(10)),"")
)</f>
        <v/>
      </c>
      <c r="H27" s="190">
        <f>SUMIF(Mapping_Appliance[NIST Control],B27,Mapping_Appliance[Total emissions (kgC02e)])</f>
        <v>0</v>
      </c>
      <c r="I27" s="191" t="str" cm="1">
        <f t="array" ref="I27">IFERROR(_xlfn.CONCAT(_xlfn._xlws.FILTER(Mapping_Appliance[Scope],Mapping_Appliance[NIST Control]=B27)&amp;CHAR(10)),"")</f>
        <v/>
      </c>
      <c r="J27" s="190">
        <f>SUMIF(Mapping_Servers_Backup[NIST Control],B27,Mapping_Servers_Backup[Total emissions (kgC02e)])</f>
        <v>0</v>
      </c>
      <c r="K27" s="191" t="str" cm="1">
        <f t="array" ref="K27">_xlfn.CONCAT(
IFERROR(_xlfn.CONCAT(_xlfn._xlws.FILTER(Mapping_Non_Cyber_Servers[Scope],Mapping_Non_Cyber_Servers[NIST Control]=B27)&amp;CHAR(10)),""),
IFERROR(_xlfn.CONCAT(_xlfn._xlws.FILTER(Mapping_Servers_Backup[Scope],Mapping_Servers_Backup[NIST Control]=B27)&amp;CHAR(10)),""),
)</f>
        <v/>
      </c>
      <c r="L27" s="190">
        <f>SUMIF(Mapping_Solutions_On_Premise[NIST Control],B27,Mapping_Solutions_On_Premise[Total NIST carbon emission (kgCO2e)])
+SUMIF(Mapping_Solutions_Cloud[NIST Control],B27,Mapping_Solutions_Cloud[Total NIST carbon emission (kgCO2e)])</f>
        <v>0</v>
      </c>
      <c r="M27" s="191" t="str" cm="1">
        <f t="array" ref="M27">_xlfn.CONCAT(
IFERROR(_xlfn.CONCAT(_xlfn._xlws.FILTER(Mapping_Solutions_On_Premise[Application name],#REF!=B27)&amp;CHAR(10)),""),
IFERROR(_xlfn.CONCAT(_xlfn._xlws.FILTER(Mapping_Solutions_Cloud[Application name],#REF!=B27)&amp;CHAR(10)),"")
)</f>
        <v/>
      </c>
      <c r="N27" s="190">
        <f>SUMIF(Mapping_Externals_TM[NIST Control],B27,Mapping_Externals_TM[NIST carbon emission (kgCO2e)])
+SUMIF(Mapping_Externals_Fixed_Price[NIST Control],B27,Mapping_Externals_Fixed_Price[NIST carbon emission (kgCO2e)])</f>
        <v>0</v>
      </c>
      <c r="O27" s="191" t="str" cm="1">
        <f t="array" ref="O27">_xlfn.CONCAT(
IFERROR(_xlfn.CONCAT(_xlfn._xlws.FILTER(Mapping_Externals_TM[Service name],#REF!=B27)&amp;CHAR(10)),""),
IFERROR(_xlfn.CONCAT(_xlfn._xlws.FILTER(Mapping_Externals_Fixed_Price[Service name],#REF!=B27)&amp;CHAR(10)),""))</f>
        <v/>
      </c>
      <c r="P27" s="190">
        <f>SUMIF(Mapping_Travel[NIST Control],B27,Mapping_Travel[Total emissions (kgC02e)])</f>
        <v>0</v>
      </c>
      <c r="Q27" s="192" t="str" cm="1">
        <f t="array" ref="Q27">IFERROR(_xlfn.CONCAT(_xlfn._xlws.FILTER(Mapping_Travel[Type of transportation],Mapping_Travel[NIST Control]=B27)&amp;CHAR(10)),"")</f>
        <v/>
      </c>
      <c r="R27" s="190">
        <f>SUMIF(Mapping_Non_Cyber_Workstation_Laptop[NIST Control],B27,Mapping_Non_Cyber_Workstation_Laptop[Total emissions (kgC02e)])
+SUMIF(Mapping_Non_Cyber_Workstation_Desktop[NIST Control],B27,Mapping_Non_Cyber_Workstation_Desktop[Total emissions (kgC02e)])
+SUMIF(Mapping_Non_Cyber_VDI[NIST Control],B27,Mapping_Non_Cyber_VDI[Total emissions (kgC02e)])
+SUMIF(Mapping_Non_Cyber_Servers[NIST Control],B27,Mapping_Non_Cyber_Servers[Total emissions (kgC02e)])</f>
        <v>0</v>
      </c>
      <c r="S27" s="191" t="str" cm="1">
        <f t="array" ref="S27">_xlfn.CONCAT(
IFERROR(_xlfn.CONCAT(_xlfn._xlws.FILTER(Mapping_Non_Cyber_Workstation_Laptop[Scope],Mapping_Non_Cyber_Workstation_Laptop[NIST Control]=B27)&amp;CHAR(10)),""),
IFERROR(_xlfn.CONCAT(_xlfn._xlws.FILTER(Mapping_Non_Cyber_Workstation_Desktop[Scope],Mapping_Non_Cyber_Workstation_Desktop[NIST Control]=B27)&amp;CHAR(10)),""),
IFERROR(_xlfn.CONCAT(_xlfn._xlws.FILTER(Mapping_Non_Cyber_VDI[Scope],Mapping_Non_Cyber_VDI[NIST Control]=B27)&amp;CHAR(10)),""),
IFERROR(_xlfn.CONCAT(_xlfn._xlws.FILTER(Mapping_Non_Cyber_Servers[Scope],Mapping_Non_Cyber_Servers[NIST Control]=B27)&amp;CHAR(10)),"")
)</f>
        <v/>
      </c>
    </row>
    <row r="28" spans="1:19">
      <c r="A28" s="27" t="s">
        <v>16</v>
      </c>
      <c r="B28" s="134" t="s">
        <v>45</v>
      </c>
      <c r="C28" s="27" t="s">
        <v>722</v>
      </c>
      <c r="D28"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28" s="33">
        <f>Dashboard_Per_Control[[#This Row],[Total yearly CO2e emissions (kgCO2e)]]/(1000*Total)</f>
        <v>0</v>
      </c>
      <c r="F28" s="190">
        <f xml:space="preserve">
SUMIF(Mapping_Devices_Workstation_Laptop[NIST Control],B28,Mapping_Devices_Workstation_Laptop[Total emissions (kgC02e)])
+SUMIF(Mapping_Devices_Workstation_Desktop[NIST Control],B28,Mapping_Devices_Workstation_Desktop[Total emissions (kgC02e)])
+SUMIF(Mapping_Devices_Screens[NIST Control],B28,Mapping_Devices_Screens[Total emissions (kgC02e)])+SUMIF(Mapping_Devices_Smartphone[NIST Control],B28,Mapping_Devices_Smartphone[Total emissions (kgC02e)])</f>
        <v>0</v>
      </c>
      <c r="G28" s="191" t="str" cm="1">
        <f t="array" ref="G28">_xlfn.CONCAT(
IFERROR(_xlfn.CONCAT(_xlfn._xlws.FILTER(Mapping_Devices_Workstation_Laptop[Scope],Mapping_Devices_Workstation_Laptop[NIST Control]=B28)&amp;CHAR(10)),""),
IFERROR(_xlfn.CONCAT(_xlfn._xlws.FILTER(#REF!,#REF!=B28)&amp;CHAR(10)),""),
IFERROR(_xlfn.CONCAT(_xlfn._xlws.FILTER(Mapping_Devices_Screens[Scope],Mapping_Devices_Screens[NIST Control]=B28)&amp;CHAR(10)),""),
IFERROR(_xlfn.CONCAT(_xlfn._xlws.FILTER(Mapping_Devices_Smartphone[Scope],Mapping_Devices_Smartphone[NIST Control]=B28)&amp;CHAR(10)),"")
)</f>
        <v/>
      </c>
      <c r="H28" s="190">
        <f>SUMIF(Mapping_Appliance[NIST Control],B28,Mapping_Appliance[Total emissions (kgC02e)])</f>
        <v>0</v>
      </c>
      <c r="I28" s="191" t="str" cm="1">
        <f t="array" ref="I28">IFERROR(_xlfn.CONCAT(_xlfn._xlws.FILTER(Mapping_Appliance[Scope],Mapping_Appliance[NIST Control]=B28)&amp;CHAR(10)),"")</f>
        <v/>
      </c>
      <c r="J28" s="190">
        <f>SUMIF(Mapping_Servers_Backup[NIST Control],B28,Mapping_Servers_Backup[Total emissions (kgC02e)])</f>
        <v>0</v>
      </c>
      <c r="K28" s="191" t="str" cm="1">
        <f t="array" ref="K28">_xlfn.CONCAT(
IFERROR(_xlfn.CONCAT(_xlfn._xlws.FILTER(Mapping_Non_Cyber_Servers[Scope],Mapping_Non_Cyber_Servers[NIST Control]=B28)&amp;CHAR(10)),""),
IFERROR(_xlfn.CONCAT(_xlfn._xlws.FILTER(Mapping_Servers_Backup[Scope],Mapping_Servers_Backup[NIST Control]=B28)&amp;CHAR(10)),""),
)</f>
        <v/>
      </c>
      <c r="L28" s="190">
        <f>SUMIF(Mapping_Solutions_On_Premise[NIST Control],B28,Mapping_Solutions_On_Premise[Total NIST carbon emission (kgCO2e)])
+SUMIF(Mapping_Solutions_Cloud[NIST Control],B28,Mapping_Solutions_Cloud[Total NIST carbon emission (kgCO2e)])</f>
        <v>0</v>
      </c>
      <c r="M28" s="191" t="str" cm="1">
        <f t="array" ref="M28">_xlfn.CONCAT(
IFERROR(_xlfn.CONCAT(_xlfn._xlws.FILTER(Mapping_Solutions_On_Premise[Application name],#REF!=B28)&amp;CHAR(10)),""),
IFERROR(_xlfn.CONCAT(_xlfn._xlws.FILTER(Mapping_Solutions_Cloud[Application name],#REF!=B28)&amp;CHAR(10)),"")
)</f>
        <v/>
      </c>
      <c r="N28" s="190">
        <f>SUMIF(Mapping_Externals_TM[NIST Control],B28,Mapping_Externals_TM[NIST carbon emission (kgCO2e)])
+SUMIF(Mapping_Externals_Fixed_Price[NIST Control],B28,Mapping_Externals_Fixed_Price[NIST carbon emission (kgCO2e)])</f>
        <v>0</v>
      </c>
      <c r="O28" s="191" t="str" cm="1">
        <f t="array" ref="O28">_xlfn.CONCAT(
IFERROR(_xlfn.CONCAT(_xlfn._xlws.FILTER(Mapping_Externals_TM[Service name],#REF!=B28)&amp;CHAR(10)),""),
IFERROR(_xlfn.CONCAT(_xlfn._xlws.FILTER(Mapping_Externals_Fixed_Price[Service name],#REF!=B28)&amp;CHAR(10)),""))</f>
        <v/>
      </c>
      <c r="P28" s="190">
        <f>SUMIF(Mapping_Travel[NIST Control],B28,Mapping_Travel[Total emissions (kgC02e)])</f>
        <v>0</v>
      </c>
      <c r="Q28" s="192" t="str" cm="1">
        <f t="array" ref="Q28">IFERROR(_xlfn.CONCAT(_xlfn._xlws.FILTER(Mapping_Travel[Type of transportation],Mapping_Travel[NIST Control]=B28)&amp;CHAR(10)),"")</f>
        <v/>
      </c>
      <c r="R28" s="190">
        <f>SUMIF(Mapping_Non_Cyber_Workstation_Laptop[NIST Control],B28,Mapping_Non_Cyber_Workstation_Laptop[Total emissions (kgC02e)])
+SUMIF(Mapping_Non_Cyber_Workstation_Desktop[NIST Control],B28,Mapping_Non_Cyber_Workstation_Desktop[Total emissions (kgC02e)])
+SUMIF(Mapping_Non_Cyber_VDI[NIST Control],B28,Mapping_Non_Cyber_VDI[Total emissions (kgC02e)])
+SUMIF(Mapping_Non_Cyber_Servers[NIST Control],B28,Mapping_Non_Cyber_Servers[Total emissions (kgC02e)])</f>
        <v>0</v>
      </c>
      <c r="S28" s="191" t="str" cm="1">
        <f t="array" ref="S28">_xlfn.CONCAT(
IFERROR(_xlfn.CONCAT(_xlfn._xlws.FILTER(Mapping_Non_Cyber_Workstation_Laptop[Scope],Mapping_Non_Cyber_Workstation_Laptop[NIST Control]=B28)&amp;CHAR(10)),""),
IFERROR(_xlfn.CONCAT(_xlfn._xlws.FILTER(Mapping_Non_Cyber_Workstation_Desktop[Scope],Mapping_Non_Cyber_Workstation_Desktop[NIST Control]=B28)&amp;CHAR(10)),""),
IFERROR(_xlfn.CONCAT(_xlfn._xlws.FILTER(Mapping_Non_Cyber_VDI[Scope],Mapping_Non_Cyber_VDI[NIST Control]=B28)&amp;CHAR(10)),""),
IFERROR(_xlfn.CONCAT(_xlfn._xlws.FILTER(Mapping_Non_Cyber_Servers[Scope],Mapping_Non_Cyber_Servers[NIST Control]=B28)&amp;CHAR(10)),"")
)</f>
        <v/>
      </c>
    </row>
    <row r="29" spans="1:19" ht="29.1">
      <c r="A29" s="27" t="s">
        <v>17</v>
      </c>
      <c r="B29" s="134" t="s">
        <v>47</v>
      </c>
      <c r="C29" s="27" t="s">
        <v>723</v>
      </c>
      <c r="D29"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29" s="33">
        <f>Dashboard_Per_Control[[#This Row],[Total yearly CO2e emissions (kgCO2e)]]/(1000*Total)</f>
        <v>0</v>
      </c>
      <c r="F29" s="190">
        <f xml:space="preserve">
SUMIF(Mapping_Devices_Workstation_Laptop[NIST Control],B29,Mapping_Devices_Workstation_Laptop[Total emissions (kgC02e)])
+SUMIF(Mapping_Devices_Workstation_Desktop[NIST Control],B29,Mapping_Devices_Workstation_Desktop[Total emissions (kgC02e)])
+SUMIF(Mapping_Devices_Screens[NIST Control],B29,Mapping_Devices_Screens[Total emissions (kgC02e)])+SUMIF(Mapping_Devices_Smartphone[NIST Control],B29,Mapping_Devices_Smartphone[Total emissions (kgC02e)])</f>
        <v>0</v>
      </c>
      <c r="G29" s="191" t="str" cm="1">
        <f t="array" ref="G29">_xlfn.CONCAT(
IFERROR(_xlfn.CONCAT(_xlfn._xlws.FILTER(Mapping_Devices_Workstation_Laptop[Scope],Mapping_Devices_Workstation_Laptop[NIST Control]=B29)&amp;CHAR(10)),""),
IFERROR(_xlfn.CONCAT(_xlfn._xlws.FILTER(#REF!,#REF!=B29)&amp;CHAR(10)),""),
IFERROR(_xlfn.CONCAT(_xlfn._xlws.FILTER(Mapping_Devices_Screens[Scope],Mapping_Devices_Screens[NIST Control]=B29)&amp;CHAR(10)),""),
IFERROR(_xlfn.CONCAT(_xlfn._xlws.FILTER(Mapping_Devices_Smartphone[Scope],Mapping_Devices_Smartphone[NIST Control]=B29)&amp;CHAR(10)),"")
)</f>
        <v/>
      </c>
      <c r="H29" s="190">
        <f>SUMIF(Mapping_Appliance[NIST Control],B29,Mapping_Appliance[Total emissions (kgC02e)])</f>
        <v>0</v>
      </c>
      <c r="I29" s="191" t="str" cm="1">
        <f t="array" ref="I29">IFERROR(_xlfn.CONCAT(_xlfn._xlws.FILTER(Mapping_Appliance[Scope],Mapping_Appliance[NIST Control]=B29)&amp;CHAR(10)),"")</f>
        <v/>
      </c>
      <c r="J29" s="190">
        <f>SUMIF(Mapping_Servers_Backup[NIST Control],B29,Mapping_Servers_Backup[Total emissions (kgC02e)])</f>
        <v>0</v>
      </c>
      <c r="K29" s="191" t="str" cm="1">
        <f t="array" ref="K29">_xlfn.CONCAT(
IFERROR(_xlfn.CONCAT(_xlfn._xlws.FILTER(Mapping_Non_Cyber_Servers[Scope],Mapping_Non_Cyber_Servers[NIST Control]=B29)&amp;CHAR(10)),""),
IFERROR(_xlfn.CONCAT(_xlfn._xlws.FILTER(Mapping_Servers_Backup[Scope],Mapping_Servers_Backup[NIST Control]=B29)&amp;CHAR(10)),""),
)</f>
        <v/>
      </c>
      <c r="L29" s="190">
        <f>SUMIF(Mapping_Solutions_On_Premise[NIST Control],B29,Mapping_Solutions_On_Premise[Total NIST carbon emission (kgCO2e)])
+SUMIF(Mapping_Solutions_Cloud[NIST Control],B29,Mapping_Solutions_Cloud[Total NIST carbon emission (kgCO2e)])</f>
        <v>0</v>
      </c>
      <c r="M29" s="191" t="str" cm="1">
        <f t="array" ref="M29">_xlfn.CONCAT(
IFERROR(_xlfn.CONCAT(_xlfn._xlws.FILTER(Mapping_Solutions_On_Premise[Application name],#REF!=B29)&amp;CHAR(10)),""),
IFERROR(_xlfn.CONCAT(_xlfn._xlws.FILTER(Mapping_Solutions_Cloud[Application name],#REF!=B29)&amp;CHAR(10)),"")
)</f>
        <v/>
      </c>
      <c r="N29" s="190">
        <f>SUMIF(Mapping_Externals_TM[NIST Control],B29,Mapping_Externals_TM[NIST carbon emission (kgCO2e)])
+SUMIF(Mapping_Externals_Fixed_Price[NIST Control],B29,Mapping_Externals_Fixed_Price[NIST carbon emission (kgCO2e)])</f>
        <v>0</v>
      </c>
      <c r="O29" s="191" t="str" cm="1">
        <f t="array" ref="O29">_xlfn.CONCAT(
IFERROR(_xlfn.CONCAT(_xlfn._xlws.FILTER(Mapping_Externals_TM[Service name],#REF!=B29)&amp;CHAR(10)),""),
IFERROR(_xlfn.CONCAT(_xlfn._xlws.FILTER(Mapping_Externals_Fixed_Price[Service name],#REF!=B29)&amp;CHAR(10)),""))</f>
        <v/>
      </c>
      <c r="P29" s="190">
        <f>SUMIF(Mapping_Travel[NIST Control],B29,Mapping_Travel[Total emissions (kgC02e)])</f>
        <v>0</v>
      </c>
      <c r="Q29" s="192" t="str" cm="1">
        <f t="array" ref="Q29">IFERROR(_xlfn.CONCAT(_xlfn._xlws.FILTER(Mapping_Travel[Type of transportation],Mapping_Travel[NIST Control]=B29)&amp;CHAR(10)),"")</f>
        <v/>
      </c>
      <c r="R29" s="190">
        <f>SUMIF(Mapping_Non_Cyber_Workstation_Laptop[NIST Control],B29,Mapping_Non_Cyber_Workstation_Laptop[Total emissions (kgC02e)])
+SUMIF(Mapping_Non_Cyber_Workstation_Desktop[NIST Control],B29,Mapping_Non_Cyber_Workstation_Desktop[Total emissions (kgC02e)])
+SUMIF(Mapping_Non_Cyber_VDI[NIST Control],B29,Mapping_Non_Cyber_VDI[Total emissions (kgC02e)])
+SUMIF(Mapping_Non_Cyber_Servers[NIST Control],B29,Mapping_Non_Cyber_Servers[Total emissions (kgC02e)])</f>
        <v>0</v>
      </c>
      <c r="S29" s="191" t="str" cm="1">
        <f t="array" ref="S29">_xlfn.CONCAT(
IFERROR(_xlfn.CONCAT(_xlfn._xlws.FILTER(Mapping_Non_Cyber_Workstation_Laptop[Scope],Mapping_Non_Cyber_Workstation_Laptop[NIST Control]=B29)&amp;CHAR(10)),""),
IFERROR(_xlfn.CONCAT(_xlfn._xlws.FILTER(Mapping_Non_Cyber_Workstation_Desktop[Scope],Mapping_Non_Cyber_Workstation_Desktop[NIST Control]=B29)&amp;CHAR(10)),""),
IFERROR(_xlfn.CONCAT(_xlfn._xlws.FILTER(Mapping_Non_Cyber_VDI[Scope],Mapping_Non_Cyber_VDI[NIST Control]=B29)&amp;CHAR(10)),""),
IFERROR(_xlfn.CONCAT(_xlfn._xlws.FILTER(Mapping_Non_Cyber_Servers[Scope],Mapping_Non_Cyber_Servers[NIST Control]=B29)&amp;CHAR(10)),"")
)</f>
        <v/>
      </c>
    </row>
    <row r="30" spans="1:19">
      <c r="A30" s="27" t="s">
        <v>17</v>
      </c>
      <c r="B30" s="134" t="s">
        <v>49</v>
      </c>
      <c r="C30" s="27" t="s">
        <v>724</v>
      </c>
      <c r="D30"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0" s="33">
        <f>Dashboard_Per_Control[[#This Row],[Total yearly CO2e emissions (kgCO2e)]]/(1000*Total)</f>
        <v>0</v>
      </c>
      <c r="F30" s="190">
        <f xml:space="preserve">
SUMIF(Mapping_Devices_Workstation_Laptop[NIST Control],B30,Mapping_Devices_Workstation_Laptop[Total emissions (kgC02e)])
+SUMIF(Mapping_Devices_Workstation_Desktop[NIST Control],B30,Mapping_Devices_Workstation_Desktop[Total emissions (kgC02e)])
+SUMIF(Mapping_Devices_Screens[NIST Control],B30,Mapping_Devices_Screens[Total emissions (kgC02e)])+SUMIF(Mapping_Devices_Smartphone[NIST Control],B30,Mapping_Devices_Smartphone[Total emissions (kgC02e)])</f>
        <v>0</v>
      </c>
      <c r="G30" s="191" t="str" cm="1">
        <f t="array" ref="G30">_xlfn.CONCAT(
IFERROR(_xlfn.CONCAT(_xlfn._xlws.FILTER(Mapping_Devices_Workstation_Laptop[Scope],Mapping_Devices_Workstation_Laptop[NIST Control]=B30)&amp;CHAR(10)),""),
IFERROR(_xlfn.CONCAT(_xlfn._xlws.FILTER(#REF!,#REF!=B30)&amp;CHAR(10)),""),
IFERROR(_xlfn.CONCAT(_xlfn._xlws.FILTER(Mapping_Devices_Screens[Scope],Mapping_Devices_Screens[NIST Control]=B30)&amp;CHAR(10)),""),
IFERROR(_xlfn.CONCAT(_xlfn._xlws.FILTER(Mapping_Devices_Smartphone[Scope],Mapping_Devices_Smartphone[NIST Control]=B30)&amp;CHAR(10)),"")
)</f>
        <v/>
      </c>
      <c r="H30" s="190">
        <f>SUMIF(Mapping_Appliance[NIST Control],B30,Mapping_Appliance[Total emissions (kgC02e)])</f>
        <v>0</v>
      </c>
      <c r="I30" s="191" t="str" cm="1">
        <f t="array" ref="I30">IFERROR(_xlfn.CONCAT(_xlfn._xlws.FILTER(Mapping_Appliance[Scope],Mapping_Appliance[NIST Control]=B30)&amp;CHAR(10)),"")</f>
        <v/>
      </c>
      <c r="J30" s="190">
        <f>SUMIF(Mapping_Servers_Backup[NIST Control],B30,Mapping_Servers_Backup[Total emissions (kgC02e)])</f>
        <v>0</v>
      </c>
      <c r="K30" s="191" t="str" cm="1">
        <f t="array" ref="K30">_xlfn.CONCAT(
IFERROR(_xlfn.CONCAT(_xlfn._xlws.FILTER(Mapping_Non_Cyber_Servers[Scope],Mapping_Non_Cyber_Servers[NIST Control]=B30)&amp;CHAR(10)),""),
IFERROR(_xlfn.CONCAT(_xlfn._xlws.FILTER(Mapping_Servers_Backup[Scope],Mapping_Servers_Backup[NIST Control]=B30)&amp;CHAR(10)),""),
)</f>
        <v/>
      </c>
      <c r="L30" s="190">
        <f>SUMIF(Mapping_Solutions_On_Premise[NIST Control],B30,Mapping_Solutions_On_Premise[Total NIST carbon emission (kgCO2e)])
+SUMIF(Mapping_Solutions_Cloud[NIST Control],B30,Mapping_Solutions_Cloud[Total NIST carbon emission (kgCO2e)])</f>
        <v>0</v>
      </c>
      <c r="M30" s="191" t="str" cm="1">
        <f t="array" ref="M30">_xlfn.CONCAT(
IFERROR(_xlfn.CONCAT(_xlfn._xlws.FILTER(Mapping_Solutions_On_Premise[Application name],#REF!=B30)&amp;CHAR(10)),""),
IFERROR(_xlfn.CONCAT(_xlfn._xlws.FILTER(Mapping_Solutions_Cloud[Application name],#REF!=B30)&amp;CHAR(10)),"")
)</f>
        <v/>
      </c>
      <c r="N30" s="190">
        <f>SUMIF(Mapping_Externals_TM[NIST Control],B30,Mapping_Externals_TM[NIST carbon emission (kgCO2e)])
+SUMIF(Mapping_Externals_Fixed_Price[NIST Control],B30,Mapping_Externals_Fixed_Price[NIST carbon emission (kgCO2e)])</f>
        <v>0</v>
      </c>
      <c r="O30" s="191" t="str" cm="1">
        <f t="array" ref="O30">_xlfn.CONCAT(
IFERROR(_xlfn.CONCAT(_xlfn._xlws.FILTER(Mapping_Externals_TM[Service name],#REF!=B30)&amp;CHAR(10)),""),
IFERROR(_xlfn.CONCAT(_xlfn._xlws.FILTER(Mapping_Externals_Fixed_Price[Service name],#REF!=B30)&amp;CHAR(10)),""))</f>
        <v/>
      </c>
      <c r="P30" s="190">
        <f>SUMIF(Mapping_Travel[NIST Control],B30,Mapping_Travel[Total emissions (kgC02e)])</f>
        <v>0</v>
      </c>
      <c r="Q30" s="192" t="str" cm="1">
        <f t="array" ref="Q30">IFERROR(_xlfn.CONCAT(_xlfn._xlws.FILTER(Mapping_Travel[Type of transportation],Mapping_Travel[NIST Control]=B30)&amp;CHAR(10)),"")</f>
        <v/>
      </c>
      <c r="R30" s="190">
        <f>SUMIF(Mapping_Non_Cyber_Workstation_Laptop[NIST Control],B30,Mapping_Non_Cyber_Workstation_Laptop[Total emissions (kgC02e)])
+SUMIF(Mapping_Non_Cyber_Workstation_Desktop[NIST Control],B30,Mapping_Non_Cyber_Workstation_Desktop[Total emissions (kgC02e)])
+SUMIF(Mapping_Non_Cyber_VDI[NIST Control],B30,Mapping_Non_Cyber_VDI[Total emissions (kgC02e)])
+SUMIF(Mapping_Non_Cyber_Servers[NIST Control],B30,Mapping_Non_Cyber_Servers[Total emissions (kgC02e)])</f>
        <v>0</v>
      </c>
      <c r="S30" s="191" t="str" cm="1">
        <f t="array" ref="S30">_xlfn.CONCAT(
IFERROR(_xlfn.CONCAT(_xlfn._xlws.FILTER(Mapping_Non_Cyber_Workstation_Laptop[Scope],Mapping_Non_Cyber_Workstation_Laptop[NIST Control]=B30)&amp;CHAR(10)),""),
IFERROR(_xlfn.CONCAT(_xlfn._xlws.FILTER(Mapping_Non_Cyber_Workstation_Desktop[Scope],Mapping_Non_Cyber_Workstation_Desktop[NIST Control]=B30)&amp;CHAR(10)),""),
IFERROR(_xlfn.CONCAT(_xlfn._xlws.FILTER(Mapping_Non_Cyber_VDI[Scope],Mapping_Non_Cyber_VDI[NIST Control]=B30)&amp;CHAR(10)),""),
IFERROR(_xlfn.CONCAT(_xlfn._xlws.FILTER(Mapping_Non_Cyber_Servers[Scope],Mapping_Non_Cyber_Servers[NIST Control]=B30)&amp;CHAR(10)),"")
)</f>
        <v/>
      </c>
    </row>
    <row r="31" spans="1:19" ht="43.5">
      <c r="A31" s="27" t="s">
        <v>17</v>
      </c>
      <c r="B31" s="134" t="s">
        <v>51</v>
      </c>
      <c r="C31" s="27" t="s">
        <v>725</v>
      </c>
      <c r="D31"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1" s="33">
        <f>Dashboard_Per_Control[[#This Row],[Total yearly CO2e emissions (kgCO2e)]]/(1000*Total)</f>
        <v>0</v>
      </c>
      <c r="F31" s="190">
        <f xml:space="preserve">
SUMIF(Mapping_Devices_Workstation_Laptop[NIST Control],B31,Mapping_Devices_Workstation_Laptop[Total emissions (kgC02e)])
+SUMIF(Mapping_Devices_Workstation_Desktop[NIST Control],B31,Mapping_Devices_Workstation_Desktop[Total emissions (kgC02e)])
+SUMIF(Mapping_Devices_Screens[NIST Control],B31,Mapping_Devices_Screens[Total emissions (kgC02e)])+SUMIF(Mapping_Devices_Smartphone[NIST Control],B31,Mapping_Devices_Smartphone[Total emissions (kgC02e)])</f>
        <v>0</v>
      </c>
      <c r="G31" s="191" t="str" cm="1">
        <f t="array" ref="G31">_xlfn.CONCAT(
IFERROR(_xlfn.CONCAT(_xlfn._xlws.FILTER(Mapping_Devices_Workstation_Laptop[Scope],Mapping_Devices_Workstation_Laptop[NIST Control]=B31)&amp;CHAR(10)),""),
IFERROR(_xlfn.CONCAT(_xlfn._xlws.FILTER(#REF!,#REF!=B31)&amp;CHAR(10)),""),
IFERROR(_xlfn.CONCAT(_xlfn._xlws.FILTER(Mapping_Devices_Screens[Scope],Mapping_Devices_Screens[NIST Control]=B31)&amp;CHAR(10)),""),
IFERROR(_xlfn.CONCAT(_xlfn._xlws.FILTER(Mapping_Devices_Smartphone[Scope],Mapping_Devices_Smartphone[NIST Control]=B31)&amp;CHAR(10)),"")
)</f>
        <v/>
      </c>
      <c r="H31" s="190">
        <f>SUMIF(Mapping_Appliance[NIST Control],B31,Mapping_Appliance[Total emissions (kgC02e)])</f>
        <v>0</v>
      </c>
      <c r="I31" s="191" t="str" cm="1">
        <f t="array" ref="I31">IFERROR(_xlfn.CONCAT(_xlfn._xlws.FILTER(Mapping_Appliance[Scope],Mapping_Appliance[NIST Control]=B31)&amp;CHAR(10)),"")</f>
        <v/>
      </c>
      <c r="J31" s="190">
        <f>SUMIF(Mapping_Servers_Backup[NIST Control],B31,Mapping_Servers_Backup[Total emissions (kgC02e)])</f>
        <v>0</v>
      </c>
      <c r="K31" s="191" t="str" cm="1">
        <f t="array" ref="K31">_xlfn.CONCAT(
IFERROR(_xlfn.CONCAT(_xlfn._xlws.FILTER(Mapping_Non_Cyber_Servers[Scope],Mapping_Non_Cyber_Servers[NIST Control]=B31)&amp;CHAR(10)),""),
IFERROR(_xlfn.CONCAT(_xlfn._xlws.FILTER(Mapping_Servers_Backup[Scope],Mapping_Servers_Backup[NIST Control]=B31)&amp;CHAR(10)),""),
)</f>
        <v/>
      </c>
      <c r="L31" s="190">
        <f>SUMIF(Mapping_Solutions_On_Premise[NIST Control],B31,Mapping_Solutions_On_Premise[Total NIST carbon emission (kgCO2e)])
+SUMIF(Mapping_Solutions_Cloud[NIST Control],B31,Mapping_Solutions_Cloud[Total NIST carbon emission (kgCO2e)])</f>
        <v>0</v>
      </c>
      <c r="M31" s="191" t="str" cm="1">
        <f t="array" ref="M31">_xlfn.CONCAT(
IFERROR(_xlfn.CONCAT(_xlfn._xlws.FILTER(Mapping_Solutions_On_Premise[Application name],#REF!=B31)&amp;CHAR(10)),""),
IFERROR(_xlfn.CONCAT(_xlfn._xlws.FILTER(Mapping_Solutions_Cloud[Application name],#REF!=B31)&amp;CHAR(10)),"")
)</f>
        <v/>
      </c>
      <c r="N31" s="190">
        <f>SUMIF(Mapping_Externals_TM[NIST Control],B31,Mapping_Externals_TM[NIST carbon emission (kgCO2e)])
+SUMIF(Mapping_Externals_Fixed_Price[NIST Control],B31,Mapping_Externals_Fixed_Price[NIST carbon emission (kgCO2e)])</f>
        <v>0</v>
      </c>
      <c r="O31" s="191" t="str" cm="1">
        <f t="array" ref="O31">_xlfn.CONCAT(
IFERROR(_xlfn.CONCAT(_xlfn._xlws.FILTER(Mapping_Externals_TM[Service name],#REF!=B31)&amp;CHAR(10)),""),
IFERROR(_xlfn.CONCAT(_xlfn._xlws.FILTER(Mapping_Externals_Fixed_Price[Service name],#REF!=B31)&amp;CHAR(10)),""))</f>
        <v/>
      </c>
      <c r="P31" s="190">
        <f>SUMIF(Mapping_Travel[NIST Control],B31,Mapping_Travel[Total emissions (kgC02e)])</f>
        <v>0</v>
      </c>
      <c r="Q31" s="192" t="str" cm="1">
        <f t="array" ref="Q31">IFERROR(_xlfn.CONCAT(_xlfn._xlws.FILTER(Mapping_Travel[Type of transportation],Mapping_Travel[NIST Control]=B31)&amp;CHAR(10)),"")</f>
        <v/>
      </c>
      <c r="R31" s="190">
        <f>SUMIF(Mapping_Non_Cyber_Workstation_Laptop[NIST Control],B31,Mapping_Non_Cyber_Workstation_Laptop[Total emissions (kgC02e)])
+SUMIF(Mapping_Non_Cyber_Workstation_Desktop[NIST Control],B31,Mapping_Non_Cyber_Workstation_Desktop[Total emissions (kgC02e)])
+SUMIF(Mapping_Non_Cyber_VDI[NIST Control],B31,Mapping_Non_Cyber_VDI[Total emissions (kgC02e)])
+SUMIF(Mapping_Non_Cyber_Servers[NIST Control],B31,Mapping_Non_Cyber_Servers[Total emissions (kgC02e)])</f>
        <v>0</v>
      </c>
      <c r="S31" s="191" t="str" cm="1">
        <f t="array" ref="S31">_xlfn.CONCAT(
IFERROR(_xlfn.CONCAT(_xlfn._xlws.FILTER(Mapping_Non_Cyber_Workstation_Laptop[Scope],Mapping_Non_Cyber_Workstation_Laptop[NIST Control]=B31)&amp;CHAR(10)),""),
IFERROR(_xlfn.CONCAT(_xlfn._xlws.FILTER(Mapping_Non_Cyber_Workstation_Desktop[Scope],Mapping_Non_Cyber_Workstation_Desktop[NIST Control]=B31)&amp;CHAR(10)),""),
IFERROR(_xlfn.CONCAT(_xlfn._xlws.FILTER(Mapping_Non_Cyber_VDI[Scope],Mapping_Non_Cyber_VDI[NIST Control]=B31)&amp;CHAR(10)),""),
IFERROR(_xlfn.CONCAT(_xlfn._xlws.FILTER(Mapping_Non_Cyber_Servers[Scope],Mapping_Non_Cyber_Servers[NIST Control]=B31)&amp;CHAR(10)),"")
)</f>
        <v/>
      </c>
    </row>
    <row r="32" spans="1:19" ht="29.1">
      <c r="A32" s="27" t="s">
        <v>17</v>
      </c>
      <c r="B32" s="134" t="s">
        <v>53</v>
      </c>
      <c r="C32" s="27" t="s">
        <v>726</v>
      </c>
      <c r="D32"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2" s="33">
        <f>Dashboard_Per_Control[[#This Row],[Total yearly CO2e emissions (kgCO2e)]]/(1000*Total)</f>
        <v>0</v>
      </c>
      <c r="F32" s="190">
        <f xml:space="preserve">
SUMIF(Mapping_Devices_Workstation_Laptop[NIST Control],B32,Mapping_Devices_Workstation_Laptop[Total emissions (kgC02e)])
+SUMIF(Mapping_Devices_Workstation_Desktop[NIST Control],B32,Mapping_Devices_Workstation_Desktop[Total emissions (kgC02e)])
+SUMIF(Mapping_Devices_Screens[NIST Control],B32,Mapping_Devices_Screens[Total emissions (kgC02e)])+SUMIF(Mapping_Devices_Smartphone[NIST Control],B32,Mapping_Devices_Smartphone[Total emissions (kgC02e)])</f>
        <v>0</v>
      </c>
      <c r="G32" s="191" t="str" cm="1">
        <f t="array" ref="G32">_xlfn.CONCAT(
IFERROR(_xlfn.CONCAT(_xlfn._xlws.FILTER(Mapping_Devices_Workstation_Laptop[Scope],Mapping_Devices_Workstation_Laptop[NIST Control]=B32)&amp;CHAR(10)),""),
IFERROR(_xlfn.CONCAT(_xlfn._xlws.FILTER(#REF!,#REF!=B32)&amp;CHAR(10)),""),
IFERROR(_xlfn.CONCAT(_xlfn._xlws.FILTER(Mapping_Devices_Screens[Scope],Mapping_Devices_Screens[NIST Control]=B32)&amp;CHAR(10)),""),
IFERROR(_xlfn.CONCAT(_xlfn._xlws.FILTER(Mapping_Devices_Smartphone[Scope],Mapping_Devices_Smartphone[NIST Control]=B32)&amp;CHAR(10)),"")
)</f>
        <v/>
      </c>
      <c r="H32" s="190">
        <f>SUMIF(Mapping_Appliance[NIST Control],B32,Mapping_Appliance[Total emissions (kgC02e)])</f>
        <v>0</v>
      </c>
      <c r="I32" s="191" t="str" cm="1">
        <f t="array" ref="I32">IFERROR(_xlfn.CONCAT(_xlfn._xlws.FILTER(Mapping_Appliance[Scope],Mapping_Appliance[NIST Control]=B32)&amp;CHAR(10)),"")</f>
        <v/>
      </c>
      <c r="J32" s="190">
        <f>SUMIF(Mapping_Servers_Backup[NIST Control],B32,Mapping_Servers_Backup[Total emissions (kgC02e)])</f>
        <v>0</v>
      </c>
      <c r="K32" s="191" t="str" cm="1">
        <f t="array" ref="K32">_xlfn.CONCAT(
IFERROR(_xlfn.CONCAT(_xlfn._xlws.FILTER(Mapping_Non_Cyber_Servers[Scope],Mapping_Non_Cyber_Servers[NIST Control]=B32)&amp;CHAR(10)),""),
IFERROR(_xlfn.CONCAT(_xlfn._xlws.FILTER(Mapping_Servers_Backup[Scope],Mapping_Servers_Backup[NIST Control]=B32)&amp;CHAR(10)),""),
)</f>
        <v/>
      </c>
      <c r="L32" s="190">
        <f>SUMIF(Mapping_Solutions_On_Premise[NIST Control],B32,Mapping_Solutions_On_Premise[Total NIST carbon emission (kgCO2e)])
+SUMIF(Mapping_Solutions_Cloud[NIST Control],B32,Mapping_Solutions_Cloud[Total NIST carbon emission (kgCO2e)])</f>
        <v>0</v>
      </c>
      <c r="M32" s="191" t="str" cm="1">
        <f t="array" ref="M32">_xlfn.CONCAT(
IFERROR(_xlfn.CONCAT(_xlfn._xlws.FILTER(Mapping_Solutions_On_Premise[Application name],#REF!=B32)&amp;CHAR(10)),""),
IFERROR(_xlfn.CONCAT(_xlfn._xlws.FILTER(Mapping_Solutions_Cloud[Application name],#REF!=B32)&amp;CHAR(10)),"")
)</f>
        <v/>
      </c>
      <c r="N32" s="190">
        <f>SUMIF(Mapping_Externals_TM[NIST Control],B32,Mapping_Externals_TM[NIST carbon emission (kgCO2e)])
+SUMIF(Mapping_Externals_Fixed_Price[NIST Control],B32,Mapping_Externals_Fixed_Price[NIST carbon emission (kgCO2e)])</f>
        <v>0</v>
      </c>
      <c r="O32" s="191" t="str" cm="1">
        <f t="array" ref="O32">_xlfn.CONCAT(
IFERROR(_xlfn.CONCAT(_xlfn._xlws.FILTER(Mapping_Externals_TM[Service name],#REF!=B32)&amp;CHAR(10)),""),
IFERROR(_xlfn.CONCAT(_xlfn._xlws.FILTER(Mapping_Externals_Fixed_Price[Service name],#REF!=B32)&amp;CHAR(10)),""))</f>
        <v/>
      </c>
      <c r="P32" s="190">
        <f>SUMIF(Mapping_Travel[NIST Control],B32,Mapping_Travel[Total emissions (kgC02e)])</f>
        <v>0</v>
      </c>
      <c r="Q32" s="192" t="str" cm="1">
        <f t="array" ref="Q32">IFERROR(_xlfn.CONCAT(_xlfn._xlws.FILTER(Mapping_Travel[Type of transportation],Mapping_Travel[NIST Control]=B32)&amp;CHAR(10)),"")</f>
        <v/>
      </c>
      <c r="R32" s="190">
        <f>SUMIF(Mapping_Non_Cyber_Workstation_Laptop[NIST Control],B32,Mapping_Non_Cyber_Workstation_Laptop[Total emissions (kgC02e)])
+SUMIF(Mapping_Non_Cyber_Workstation_Desktop[NIST Control],B32,Mapping_Non_Cyber_Workstation_Desktop[Total emissions (kgC02e)])
+SUMIF(Mapping_Non_Cyber_VDI[NIST Control],B32,Mapping_Non_Cyber_VDI[Total emissions (kgC02e)])
+SUMIF(Mapping_Non_Cyber_Servers[NIST Control],B32,Mapping_Non_Cyber_Servers[Total emissions (kgC02e)])</f>
        <v>0</v>
      </c>
      <c r="S32" s="191" t="str" cm="1">
        <f t="array" ref="S32">_xlfn.CONCAT(
IFERROR(_xlfn.CONCAT(_xlfn._xlws.FILTER(Mapping_Non_Cyber_Workstation_Laptop[Scope],Mapping_Non_Cyber_Workstation_Laptop[NIST Control]=B32)&amp;CHAR(10)),""),
IFERROR(_xlfn.CONCAT(_xlfn._xlws.FILTER(Mapping_Non_Cyber_Workstation_Desktop[Scope],Mapping_Non_Cyber_Workstation_Desktop[NIST Control]=B32)&amp;CHAR(10)),""),
IFERROR(_xlfn.CONCAT(_xlfn._xlws.FILTER(Mapping_Non_Cyber_VDI[Scope],Mapping_Non_Cyber_VDI[NIST Control]=B32)&amp;CHAR(10)),""),
IFERROR(_xlfn.CONCAT(_xlfn._xlws.FILTER(Mapping_Non_Cyber_Servers[Scope],Mapping_Non_Cyber_Servers[NIST Control]=B32)&amp;CHAR(10)),"")
)</f>
        <v/>
      </c>
    </row>
    <row r="33" spans="1:19" ht="29.1">
      <c r="A33" s="27" t="s">
        <v>17</v>
      </c>
      <c r="B33" s="134" t="s">
        <v>55</v>
      </c>
      <c r="C33" s="27" t="s">
        <v>727</v>
      </c>
      <c r="D33"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3" s="33">
        <f>Dashboard_Per_Control[[#This Row],[Total yearly CO2e emissions (kgCO2e)]]/(1000*Total)</f>
        <v>0</v>
      </c>
      <c r="F33" s="190">
        <f xml:space="preserve">
SUMIF(Mapping_Devices_Workstation_Laptop[NIST Control],B33,Mapping_Devices_Workstation_Laptop[Total emissions (kgC02e)])
+SUMIF(Mapping_Devices_Workstation_Desktop[NIST Control],B33,Mapping_Devices_Workstation_Desktop[Total emissions (kgC02e)])
+SUMIF(Mapping_Devices_Screens[NIST Control],B33,Mapping_Devices_Screens[Total emissions (kgC02e)])+SUMIF(Mapping_Devices_Smartphone[NIST Control],B33,Mapping_Devices_Smartphone[Total emissions (kgC02e)])</f>
        <v>0</v>
      </c>
      <c r="G33" s="191" t="str" cm="1">
        <f t="array" ref="G33">_xlfn.CONCAT(
IFERROR(_xlfn.CONCAT(_xlfn._xlws.FILTER(Mapping_Devices_Workstation_Laptop[Scope],Mapping_Devices_Workstation_Laptop[NIST Control]=B33)&amp;CHAR(10)),""),
IFERROR(_xlfn.CONCAT(_xlfn._xlws.FILTER(#REF!,#REF!=B33)&amp;CHAR(10)),""),
IFERROR(_xlfn.CONCAT(_xlfn._xlws.FILTER(Mapping_Devices_Screens[Scope],Mapping_Devices_Screens[NIST Control]=B33)&amp;CHAR(10)),""),
IFERROR(_xlfn.CONCAT(_xlfn._xlws.FILTER(Mapping_Devices_Smartphone[Scope],Mapping_Devices_Smartphone[NIST Control]=B33)&amp;CHAR(10)),"")
)</f>
        <v/>
      </c>
      <c r="H33" s="190">
        <f>SUMIF(Mapping_Appliance[NIST Control],B33,Mapping_Appliance[Total emissions (kgC02e)])</f>
        <v>0</v>
      </c>
      <c r="I33" s="191" t="str" cm="1">
        <f t="array" ref="I33">IFERROR(_xlfn.CONCAT(_xlfn._xlws.FILTER(Mapping_Appliance[Scope],Mapping_Appliance[NIST Control]=B33)&amp;CHAR(10)),"")</f>
        <v/>
      </c>
      <c r="J33" s="190">
        <f>SUMIF(Mapping_Servers_Backup[NIST Control],B33,Mapping_Servers_Backup[Total emissions (kgC02e)])</f>
        <v>0</v>
      </c>
      <c r="K33" s="191" t="str" cm="1">
        <f t="array" ref="K33">_xlfn.CONCAT(
IFERROR(_xlfn.CONCAT(_xlfn._xlws.FILTER(Mapping_Non_Cyber_Servers[Scope],Mapping_Non_Cyber_Servers[NIST Control]=B33)&amp;CHAR(10)),""),
IFERROR(_xlfn.CONCAT(_xlfn._xlws.FILTER(Mapping_Servers_Backup[Scope],Mapping_Servers_Backup[NIST Control]=B33)&amp;CHAR(10)),""),
)</f>
        <v/>
      </c>
      <c r="L33" s="190">
        <f>SUMIF(Mapping_Solutions_On_Premise[NIST Control],B33,Mapping_Solutions_On_Premise[Total NIST carbon emission (kgCO2e)])
+SUMIF(Mapping_Solutions_Cloud[NIST Control],B33,Mapping_Solutions_Cloud[Total NIST carbon emission (kgCO2e)])</f>
        <v>0</v>
      </c>
      <c r="M33" s="191" t="str" cm="1">
        <f t="array" ref="M33">_xlfn.CONCAT(
IFERROR(_xlfn.CONCAT(_xlfn._xlws.FILTER(Mapping_Solutions_On_Premise[Application name],#REF!=B33)&amp;CHAR(10)),""),
IFERROR(_xlfn.CONCAT(_xlfn._xlws.FILTER(Mapping_Solutions_Cloud[Application name],#REF!=B33)&amp;CHAR(10)),"")
)</f>
        <v/>
      </c>
      <c r="N33" s="190">
        <f>SUMIF(Mapping_Externals_TM[NIST Control],B33,Mapping_Externals_TM[NIST carbon emission (kgCO2e)])
+SUMIF(Mapping_Externals_Fixed_Price[NIST Control],B33,Mapping_Externals_Fixed_Price[NIST carbon emission (kgCO2e)])</f>
        <v>0</v>
      </c>
      <c r="O33" s="191" t="str" cm="1">
        <f t="array" ref="O33">_xlfn.CONCAT(
IFERROR(_xlfn.CONCAT(_xlfn._xlws.FILTER(Mapping_Externals_TM[Service name],#REF!=B33)&amp;CHAR(10)),""),
IFERROR(_xlfn.CONCAT(_xlfn._xlws.FILTER(Mapping_Externals_Fixed_Price[Service name],#REF!=B33)&amp;CHAR(10)),""))</f>
        <v/>
      </c>
      <c r="P33" s="190">
        <f>SUMIF(Mapping_Travel[NIST Control],B33,Mapping_Travel[Total emissions (kgC02e)])</f>
        <v>0</v>
      </c>
      <c r="Q33" s="192" t="str" cm="1">
        <f t="array" ref="Q33">IFERROR(_xlfn.CONCAT(_xlfn._xlws.FILTER(Mapping_Travel[Type of transportation],Mapping_Travel[NIST Control]=B33)&amp;CHAR(10)),"")</f>
        <v/>
      </c>
      <c r="R33" s="190">
        <f>SUMIF(Mapping_Non_Cyber_Workstation_Laptop[NIST Control],B33,Mapping_Non_Cyber_Workstation_Laptop[Total emissions (kgC02e)])
+SUMIF(Mapping_Non_Cyber_Workstation_Desktop[NIST Control],B33,Mapping_Non_Cyber_Workstation_Desktop[Total emissions (kgC02e)])
+SUMIF(Mapping_Non_Cyber_VDI[NIST Control],B33,Mapping_Non_Cyber_VDI[Total emissions (kgC02e)])
+SUMIF(Mapping_Non_Cyber_Servers[NIST Control],B33,Mapping_Non_Cyber_Servers[Total emissions (kgC02e)])</f>
        <v>0</v>
      </c>
      <c r="S33" s="191" t="str" cm="1">
        <f t="array" ref="S33">_xlfn.CONCAT(
IFERROR(_xlfn.CONCAT(_xlfn._xlws.FILTER(Mapping_Non_Cyber_Workstation_Laptop[Scope],Mapping_Non_Cyber_Workstation_Laptop[NIST Control]=B33)&amp;CHAR(10)),""),
IFERROR(_xlfn.CONCAT(_xlfn._xlws.FILTER(Mapping_Non_Cyber_Workstation_Desktop[Scope],Mapping_Non_Cyber_Workstation_Desktop[NIST Control]=B33)&amp;CHAR(10)),""),
IFERROR(_xlfn.CONCAT(_xlfn._xlws.FILTER(Mapping_Non_Cyber_VDI[Scope],Mapping_Non_Cyber_VDI[NIST Control]=B33)&amp;CHAR(10)),""),
IFERROR(_xlfn.CONCAT(_xlfn._xlws.FILTER(Mapping_Non_Cyber_Servers[Scope],Mapping_Non_Cyber_Servers[NIST Control]=B33)&amp;CHAR(10)),"")
)</f>
        <v/>
      </c>
    </row>
    <row r="34" spans="1:19" ht="29.1">
      <c r="A34" s="27" t="s">
        <v>17</v>
      </c>
      <c r="B34" s="134" t="s">
        <v>57</v>
      </c>
      <c r="C34" s="27" t="s">
        <v>728</v>
      </c>
      <c r="D34"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4" s="33">
        <f>Dashboard_Per_Control[[#This Row],[Total yearly CO2e emissions (kgCO2e)]]/(1000*Total)</f>
        <v>0</v>
      </c>
      <c r="F34" s="190">
        <f xml:space="preserve">
SUMIF(Mapping_Devices_Workstation_Laptop[NIST Control],B34,Mapping_Devices_Workstation_Laptop[Total emissions (kgC02e)])
+SUMIF(Mapping_Devices_Workstation_Desktop[NIST Control],B34,Mapping_Devices_Workstation_Desktop[Total emissions (kgC02e)])
+SUMIF(Mapping_Devices_Screens[NIST Control],B34,Mapping_Devices_Screens[Total emissions (kgC02e)])+SUMIF(Mapping_Devices_Smartphone[NIST Control],B34,Mapping_Devices_Smartphone[Total emissions (kgC02e)])</f>
        <v>0</v>
      </c>
      <c r="G34" s="191" t="str" cm="1">
        <f t="array" ref="G34">_xlfn.CONCAT(
IFERROR(_xlfn.CONCAT(_xlfn._xlws.FILTER(Mapping_Devices_Workstation_Laptop[Scope],Mapping_Devices_Workstation_Laptop[NIST Control]=B34)&amp;CHAR(10)),""),
IFERROR(_xlfn.CONCAT(_xlfn._xlws.FILTER(#REF!,#REF!=B34)&amp;CHAR(10)),""),
IFERROR(_xlfn.CONCAT(_xlfn._xlws.FILTER(Mapping_Devices_Screens[Scope],Mapping_Devices_Screens[NIST Control]=B34)&amp;CHAR(10)),""),
IFERROR(_xlfn.CONCAT(_xlfn._xlws.FILTER(Mapping_Devices_Smartphone[Scope],Mapping_Devices_Smartphone[NIST Control]=B34)&amp;CHAR(10)),"")
)</f>
        <v/>
      </c>
      <c r="H34" s="190">
        <f>SUMIF(Mapping_Appliance[NIST Control],B34,Mapping_Appliance[Total emissions (kgC02e)])</f>
        <v>0</v>
      </c>
      <c r="I34" s="191" t="str" cm="1">
        <f t="array" ref="I34">IFERROR(_xlfn.CONCAT(_xlfn._xlws.FILTER(Mapping_Appliance[Scope],Mapping_Appliance[NIST Control]=B34)&amp;CHAR(10)),"")</f>
        <v/>
      </c>
      <c r="J34" s="190">
        <f>SUMIF(Mapping_Servers_Backup[NIST Control],B34,Mapping_Servers_Backup[Total emissions (kgC02e)])</f>
        <v>0</v>
      </c>
      <c r="K34" s="191" t="str" cm="1">
        <f t="array" ref="K34">_xlfn.CONCAT(
IFERROR(_xlfn.CONCAT(_xlfn._xlws.FILTER(Mapping_Non_Cyber_Servers[Scope],Mapping_Non_Cyber_Servers[NIST Control]=B34)&amp;CHAR(10)),""),
IFERROR(_xlfn.CONCAT(_xlfn._xlws.FILTER(Mapping_Servers_Backup[Scope],Mapping_Servers_Backup[NIST Control]=B34)&amp;CHAR(10)),""),
)</f>
        <v/>
      </c>
      <c r="L34" s="190">
        <f>SUMIF(Mapping_Solutions_On_Premise[NIST Control],B34,Mapping_Solutions_On_Premise[Total NIST carbon emission (kgCO2e)])
+SUMIF(Mapping_Solutions_Cloud[NIST Control],B34,Mapping_Solutions_Cloud[Total NIST carbon emission (kgCO2e)])</f>
        <v>0</v>
      </c>
      <c r="M34" s="191" t="str" cm="1">
        <f t="array" ref="M34">_xlfn.CONCAT(
IFERROR(_xlfn.CONCAT(_xlfn._xlws.FILTER(Mapping_Solutions_On_Premise[Application name],#REF!=B34)&amp;CHAR(10)),""),
IFERROR(_xlfn.CONCAT(_xlfn._xlws.FILTER(Mapping_Solutions_Cloud[Application name],#REF!=B34)&amp;CHAR(10)),"")
)</f>
        <v/>
      </c>
      <c r="N34" s="190">
        <f>SUMIF(Mapping_Externals_TM[NIST Control],B34,Mapping_Externals_TM[NIST carbon emission (kgCO2e)])
+SUMIF(Mapping_Externals_Fixed_Price[NIST Control],B34,Mapping_Externals_Fixed_Price[NIST carbon emission (kgCO2e)])</f>
        <v>0</v>
      </c>
      <c r="O34" s="191" t="str" cm="1">
        <f t="array" ref="O34">_xlfn.CONCAT(
IFERROR(_xlfn.CONCAT(_xlfn._xlws.FILTER(Mapping_Externals_TM[Service name],#REF!=B34)&amp;CHAR(10)),""),
IFERROR(_xlfn.CONCAT(_xlfn._xlws.FILTER(Mapping_Externals_Fixed_Price[Service name],#REF!=B34)&amp;CHAR(10)),""))</f>
        <v/>
      </c>
      <c r="P34" s="190">
        <f>SUMIF(Mapping_Travel[NIST Control],B34,Mapping_Travel[Total emissions (kgC02e)])</f>
        <v>0</v>
      </c>
      <c r="Q34" s="192" t="str" cm="1">
        <f t="array" ref="Q34">IFERROR(_xlfn.CONCAT(_xlfn._xlws.FILTER(Mapping_Travel[Type of transportation],Mapping_Travel[NIST Control]=B34)&amp;CHAR(10)),"")</f>
        <v/>
      </c>
      <c r="R34" s="190">
        <f>SUMIF(Mapping_Non_Cyber_Workstation_Laptop[NIST Control],B34,Mapping_Non_Cyber_Workstation_Laptop[Total emissions (kgC02e)])
+SUMIF(Mapping_Non_Cyber_Workstation_Desktop[NIST Control],B34,Mapping_Non_Cyber_Workstation_Desktop[Total emissions (kgC02e)])
+SUMIF(Mapping_Non_Cyber_VDI[NIST Control],B34,Mapping_Non_Cyber_VDI[Total emissions (kgC02e)])
+SUMIF(Mapping_Non_Cyber_Servers[NIST Control],B34,Mapping_Non_Cyber_Servers[Total emissions (kgC02e)])</f>
        <v>0</v>
      </c>
      <c r="S34" s="191" t="str" cm="1">
        <f t="array" ref="S34">_xlfn.CONCAT(
IFERROR(_xlfn.CONCAT(_xlfn._xlws.FILTER(Mapping_Non_Cyber_Workstation_Laptop[Scope],Mapping_Non_Cyber_Workstation_Laptop[NIST Control]=B34)&amp;CHAR(10)),""),
IFERROR(_xlfn.CONCAT(_xlfn._xlws.FILTER(Mapping_Non_Cyber_Workstation_Desktop[Scope],Mapping_Non_Cyber_Workstation_Desktop[NIST Control]=B34)&amp;CHAR(10)),""),
IFERROR(_xlfn.CONCAT(_xlfn._xlws.FILTER(Mapping_Non_Cyber_VDI[Scope],Mapping_Non_Cyber_VDI[NIST Control]=B34)&amp;CHAR(10)),""),
IFERROR(_xlfn.CONCAT(_xlfn._xlws.FILTER(Mapping_Non_Cyber_Servers[Scope],Mapping_Non_Cyber_Servers[NIST Control]=B34)&amp;CHAR(10)),"")
)</f>
        <v/>
      </c>
    </row>
    <row r="35" spans="1:19">
      <c r="A35" s="27" t="s">
        <v>17</v>
      </c>
      <c r="B35" s="134" t="s">
        <v>59</v>
      </c>
      <c r="C35" s="27" t="s">
        <v>729</v>
      </c>
      <c r="D35"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5" s="33">
        <f>Dashboard_Per_Control[[#This Row],[Total yearly CO2e emissions (kgCO2e)]]/(1000*Total)</f>
        <v>0</v>
      </c>
      <c r="F35" s="190">
        <f xml:space="preserve">
SUMIF(Mapping_Devices_Workstation_Laptop[NIST Control],B35,Mapping_Devices_Workstation_Laptop[Total emissions (kgC02e)])
+SUMIF(Mapping_Devices_Workstation_Desktop[NIST Control],B35,Mapping_Devices_Workstation_Desktop[Total emissions (kgC02e)])
+SUMIF(Mapping_Devices_Screens[NIST Control],B35,Mapping_Devices_Screens[Total emissions (kgC02e)])+SUMIF(Mapping_Devices_Smartphone[NIST Control],B35,Mapping_Devices_Smartphone[Total emissions (kgC02e)])</f>
        <v>0</v>
      </c>
      <c r="G35" s="191" t="str" cm="1">
        <f t="array" ref="G35">_xlfn.CONCAT(
IFERROR(_xlfn.CONCAT(_xlfn._xlws.FILTER(Mapping_Devices_Workstation_Laptop[Scope],Mapping_Devices_Workstation_Laptop[NIST Control]=B35)&amp;CHAR(10)),""),
IFERROR(_xlfn.CONCAT(_xlfn._xlws.FILTER(#REF!,#REF!=B35)&amp;CHAR(10)),""),
IFERROR(_xlfn.CONCAT(_xlfn._xlws.FILTER(Mapping_Devices_Screens[Scope],Mapping_Devices_Screens[NIST Control]=B35)&amp;CHAR(10)),""),
IFERROR(_xlfn.CONCAT(_xlfn._xlws.FILTER(Mapping_Devices_Smartphone[Scope],Mapping_Devices_Smartphone[NIST Control]=B35)&amp;CHAR(10)),"")
)</f>
        <v/>
      </c>
      <c r="H35" s="190">
        <f>SUMIF(Mapping_Appliance[NIST Control],B35,Mapping_Appliance[Total emissions (kgC02e)])</f>
        <v>0</v>
      </c>
      <c r="I35" s="191" t="str" cm="1">
        <f t="array" ref="I35">IFERROR(_xlfn.CONCAT(_xlfn._xlws.FILTER(Mapping_Appliance[Scope],Mapping_Appliance[NIST Control]=B35)&amp;CHAR(10)),"")</f>
        <v/>
      </c>
      <c r="J35" s="190">
        <f>SUMIF(Mapping_Servers_Backup[NIST Control],B35,Mapping_Servers_Backup[Total emissions (kgC02e)])</f>
        <v>0</v>
      </c>
      <c r="K35" s="191" t="str" cm="1">
        <f t="array" ref="K35">_xlfn.CONCAT(
IFERROR(_xlfn.CONCAT(_xlfn._xlws.FILTER(Mapping_Non_Cyber_Servers[Scope],Mapping_Non_Cyber_Servers[NIST Control]=B35)&amp;CHAR(10)),""),
IFERROR(_xlfn.CONCAT(_xlfn._xlws.FILTER(Mapping_Servers_Backup[Scope],Mapping_Servers_Backup[NIST Control]=B35)&amp;CHAR(10)),""),
)</f>
        <v/>
      </c>
      <c r="L35" s="190">
        <f>SUMIF(Mapping_Solutions_On_Premise[NIST Control],B35,Mapping_Solutions_On_Premise[Total NIST carbon emission (kgCO2e)])
+SUMIF(Mapping_Solutions_Cloud[NIST Control],B35,Mapping_Solutions_Cloud[Total NIST carbon emission (kgCO2e)])</f>
        <v>0</v>
      </c>
      <c r="M35" s="191" t="str" cm="1">
        <f t="array" ref="M35">_xlfn.CONCAT(
IFERROR(_xlfn.CONCAT(_xlfn._xlws.FILTER(Mapping_Solutions_On_Premise[Application name],#REF!=B35)&amp;CHAR(10)),""),
IFERROR(_xlfn.CONCAT(_xlfn._xlws.FILTER(Mapping_Solutions_Cloud[Application name],#REF!=B35)&amp;CHAR(10)),"")
)</f>
        <v/>
      </c>
      <c r="N35" s="190">
        <f>SUMIF(Mapping_Externals_TM[NIST Control],B35,Mapping_Externals_TM[NIST carbon emission (kgCO2e)])
+SUMIF(Mapping_Externals_Fixed_Price[NIST Control],B35,Mapping_Externals_Fixed_Price[NIST carbon emission (kgCO2e)])</f>
        <v>0</v>
      </c>
      <c r="O35" s="191" t="str" cm="1">
        <f t="array" ref="O35">_xlfn.CONCAT(
IFERROR(_xlfn.CONCAT(_xlfn._xlws.FILTER(Mapping_Externals_TM[Service name],#REF!=B35)&amp;CHAR(10)),""),
IFERROR(_xlfn.CONCAT(_xlfn._xlws.FILTER(Mapping_Externals_Fixed_Price[Service name],#REF!=B35)&amp;CHAR(10)),""))</f>
        <v/>
      </c>
      <c r="P35" s="190">
        <f>SUMIF(Mapping_Travel[NIST Control],B35,Mapping_Travel[Total emissions (kgC02e)])</f>
        <v>0</v>
      </c>
      <c r="Q35" s="192" t="str" cm="1">
        <f t="array" ref="Q35">IFERROR(_xlfn.CONCAT(_xlfn._xlws.FILTER(Mapping_Travel[Type of transportation],Mapping_Travel[NIST Control]=B35)&amp;CHAR(10)),"")</f>
        <v/>
      </c>
      <c r="R35" s="190">
        <f>SUMIF(Mapping_Non_Cyber_Workstation_Laptop[NIST Control],B35,Mapping_Non_Cyber_Workstation_Laptop[Total emissions (kgC02e)])
+SUMIF(Mapping_Non_Cyber_Workstation_Desktop[NIST Control],B35,Mapping_Non_Cyber_Workstation_Desktop[Total emissions (kgC02e)])
+SUMIF(Mapping_Non_Cyber_VDI[NIST Control],B35,Mapping_Non_Cyber_VDI[Total emissions (kgC02e)])
+SUMIF(Mapping_Non_Cyber_Servers[NIST Control],B35,Mapping_Non_Cyber_Servers[Total emissions (kgC02e)])</f>
        <v>0</v>
      </c>
      <c r="S35" s="191" t="str" cm="1">
        <f t="array" ref="S35">_xlfn.CONCAT(
IFERROR(_xlfn.CONCAT(_xlfn._xlws.FILTER(Mapping_Non_Cyber_Workstation_Laptop[Scope],Mapping_Non_Cyber_Workstation_Laptop[NIST Control]=B35)&amp;CHAR(10)),""),
IFERROR(_xlfn.CONCAT(_xlfn._xlws.FILTER(Mapping_Non_Cyber_Workstation_Desktop[Scope],Mapping_Non_Cyber_Workstation_Desktop[NIST Control]=B35)&amp;CHAR(10)),""),
IFERROR(_xlfn.CONCAT(_xlfn._xlws.FILTER(Mapping_Non_Cyber_VDI[Scope],Mapping_Non_Cyber_VDI[NIST Control]=B35)&amp;CHAR(10)),""),
IFERROR(_xlfn.CONCAT(_xlfn._xlws.FILTER(Mapping_Non_Cyber_Servers[Scope],Mapping_Non_Cyber_Servers[NIST Control]=B35)&amp;CHAR(10)),"")
)</f>
        <v/>
      </c>
    </row>
    <row r="36" spans="1:19" ht="29.1">
      <c r="A36" s="27" t="s">
        <v>17</v>
      </c>
      <c r="B36" s="134" t="s">
        <v>61</v>
      </c>
      <c r="C36" s="27" t="s">
        <v>730</v>
      </c>
      <c r="D36"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6" s="33">
        <f>Dashboard_Per_Control[[#This Row],[Total yearly CO2e emissions (kgCO2e)]]/(1000*Total)</f>
        <v>0</v>
      </c>
      <c r="F36" s="190">
        <f xml:space="preserve">
SUMIF(Mapping_Devices_Workstation_Laptop[NIST Control],B36,Mapping_Devices_Workstation_Laptop[Total emissions (kgC02e)])
+SUMIF(Mapping_Devices_Workstation_Desktop[NIST Control],B36,Mapping_Devices_Workstation_Desktop[Total emissions (kgC02e)])
+SUMIF(Mapping_Devices_Screens[NIST Control],B36,Mapping_Devices_Screens[Total emissions (kgC02e)])+SUMIF(Mapping_Devices_Smartphone[NIST Control],B36,Mapping_Devices_Smartphone[Total emissions (kgC02e)])</f>
        <v>0</v>
      </c>
      <c r="G36" s="191" t="str" cm="1">
        <f t="array" ref="G36">_xlfn.CONCAT(
IFERROR(_xlfn.CONCAT(_xlfn._xlws.FILTER(Mapping_Devices_Workstation_Laptop[Scope],Mapping_Devices_Workstation_Laptop[NIST Control]=B36)&amp;CHAR(10)),""),
IFERROR(_xlfn.CONCAT(_xlfn._xlws.FILTER(#REF!,#REF!=B36)&amp;CHAR(10)),""),
IFERROR(_xlfn.CONCAT(_xlfn._xlws.FILTER(Mapping_Devices_Screens[Scope],Mapping_Devices_Screens[NIST Control]=B36)&amp;CHAR(10)),""),
IFERROR(_xlfn.CONCAT(_xlfn._xlws.FILTER(Mapping_Devices_Smartphone[Scope],Mapping_Devices_Smartphone[NIST Control]=B36)&amp;CHAR(10)),"")
)</f>
        <v/>
      </c>
      <c r="H36" s="190">
        <f>SUMIF(Mapping_Appliance[NIST Control],B36,Mapping_Appliance[Total emissions (kgC02e)])</f>
        <v>0</v>
      </c>
      <c r="I36" s="191" t="str" cm="1">
        <f t="array" ref="I36">IFERROR(_xlfn.CONCAT(_xlfn._xlws.FILTER(Mapping_Appliance[Scope],Mapping_Appliance[NIST Control]=B36)&amp;CHAR(10)),"")</f>
        <v/>
      </c>
      <c r="J36" s="190">
        <f>SUMIF(Mapping_Servers_Backup[NIST Control],B36,Mapping_Servers_Backup[Total emissions (kgC02e)])</f>
        <v>0</v>
      </c>
      <c r="K36" s="191" t="str" cm="1">
        <f t="array" ref="K36">_xlfn.CONCAT(
IFERROR(_xlfn.CONCAT(_xlfn._xlws.FILTER(Mapping_Non_Cyber_Servers[Scope],Mapping_Non_Cyber_Servers[NIST Control]=B36)&amp;CHAR(10)),""),
IFERROR(_xlfn.CONCAT(_xlfn._xlws.FILTER(Mapping_Servers_Backup[Scope],Mapping_Servers_Backup[NIST Control]=B36)&amp;CHAR(10)),""),
)</f>
        <v/>
      </c>
      <c r="L36" s="190">
        <f>SUMIF(Mapping_Solutions_On_Premise[NIST Control],B36,Mapping_Solutions_On_Premise[Total NIST carbon emission (kgCO2e)])
+SUMIF(Mapping_Solutions_Cloud[NIST Control],B36,Mapping_Solutions_Cloud[Total NIST carbon emission (kgCO2e)])</f>
        <v>0</v>
      </c>
      <c r="M36" s="191" t="str" cm="1">
        <f t="array" ref="M36">_xlfn.CONCAT(
IFERROR(_xlfn.CONCAT(_xlfn._xlws.FILTER(Mapping_Solutions_On_Premise[Application name],#REF!=B36)&amp;CHAR(10)),""),
IFERROR(_xlfn.CONCAT(_xlfn._xlws.FILTER(Mapping_Solutions_Cloud[Application name],#REF!=B36)&amp;CHAR(10)),"")
)</f>
        <v/>
      </c>
      <c r="N36" s="190">
        <f>SUMIF(Mapping_Externals_TM[NIST Control],B36,Mapping_Externals_TM[NIST carbon emission (kgCO2e)])
+SUMIF(Mapping_Externals_Fixed_Price[NIST Control],B36,Mapping_Externals_Fixed_Price[NIST carbon emission (kgCO2e)])</f>
        <v>0</v>
      </c>
      <c r="O36" s="191" t="str" cm="1">
        <f t="array" ref="O36">_xlfn.CONCAT(
IFERROR(_xlfn.CONCAT(_xlfn._xlws.FILTER(Mapping_Externals_TM[Service name],#REF!=B36)&amp;CHAR(10)),""),
IFERROR(_xlfn.CONCAT(_xlfn._xlws.FILTER(Mapping_Externals_Fixed_Price[Service name],#REF!=B36)&amp;CHAR(10)),""))</f>
        <v/>
      </c>
      <c r="P36" s="190">
        <f>SUMIF(Mapping_Travel[NIST Control],B36,Mapping_Travel[Total emissions (kgC02e)])</f>
        <v>0</v>
      </c>
      <c r="Q36" s="192" t="str" cm="1">
        <f t="array" ref="Q36">IFERROR(_xlfn.CONCAT(_xlfn._xlws.FILTER(Mapping_Travel[Type of transportation],Mapping_Travel[NIST Control]=B36)&amp;CHAR(10)),"")</f>
        <v/>
      </c>
      <c r="R36" s="190">
        <f>SUMIF(Mapping_Non_Cyber_Workstation_Laptop[NIST Control],B36,Mapping_Non_Cyber_Workstation_Laptop[Total emissions (kgC02e)])
+SUMIF(Mapping_Non_Cyber_Workstation_Desktop[NIST Control],B36,Mapping_Non_Cyber_Workstation_Desktop[Total emissions (kgC02e)])
+SUMIF(Mapping_Non_Cyber_VDI[NIST Control],B36,Mapping_Non_Cyber_VDI[Total emissions (kgC02e)])
+SUMIF(Mapping_Non_Cyber_Servers[NIST Control],B36,Mapping_Non_Cyber_Servers[Total emissions (kgC02e)])</f>
        <v>0</v>
      </c>
      <c r="S36" s="191" t="str" cm="1">
        <f t="array" ref="S36">_xlfn.CONCAT(
IFERROR(_xlfn.CONCAT(_xlfn._xlws.FILTER(Mapping_Non_Cyber_Workstation_Laptop[Scope],Mapping_Non_Cyber_Workstation_Laptop[NIST Control]=B36)&amp;CHAR(10)),""),
IFERROR(_xlfn.CONCAT(_xlfn._xlws.FILTER(Mapping_Non_Cyber_Workstation_Desktop[Scope],Mapping_Non_Cyber_Workstation_Desktop[NIST Control]=B36)&amp;CHAR(10)),""),
IFERROR(_xlfn.CONCAT(_xlfn._xlws.FILTER(Mapping_Non_Cyber_VDI[Scope],Mapping_Non_Cyber_VDI[NIST Control]=B36)&amp;CHAR(10)),""),
IFERROR(_xlfn.CONCAT(_xlfn._xlws.FILTER(Mapping_Non_Cyber_Servers[Scope],Mapping_Non_Cyber_Servers[NIST Control]=B36)&amp;CHAR(10)),"")
)</f>
        <v/>
      </c>
    </row>
    <row r="37" spans="1:19">
      <c r="A37" s="27" t="s">
        <v>17</v>
      </c>
      <c r="B37" s="134" t="s">
        <v>63</v>
      </c>
      <c r="C37" s="27" t="s">
        <v>731</v>
      </c>
      <c r="D37"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7" s="33">
        <f>Dashboard_Per_Control[[#This Row],[Total yearly CO2e emissions (kgCO2e)]]/(1000*Total)</f>
        <v>0</v>
      </c>
      <c r="F37" s="190">
        <f xml:space="preserve">
SUMIF(Mapping_Devices_Workstation_Laptop[NIST Control],B37,Mapping_Devices_Workstation_Laptop[Total emissions (kgC02e)])
+SUMIF(Mapping_Devices_Workstation_Desktop[NIST Control],B37,Mapping_Devices_Workstation_Desktop[Total emissions (kgC02e)])
+SUMIF(Mapping_Devices_Screens[NIST Control],B37,Mapping_Devices_Screens[Total emissions (kgC02e)])+SUMIF(Mapping_Devices_Smartphone[NIST Control],B37,Mapping_Devices_Smartphone[Total emissions (kgC02e)])</f>
        <v>0</v>
      </c>
      <c r="G37" s="191" t="str" cm="1">
        <f t="array" ref="G37">_xlfn.CONCAT(
IFERROR(_xlfn.CONCAT(_xlfn._xlws.FILTER(Mapping_Devices_Workstation_Laptop[Scope],Mapping_Devices_Workstation_Laptop[NIST Control]=B37)&amp;CHAR(10)),""),
IFERROR(_xlfn.CONCAT(_xlfn._xlws.FILTER(#REF!,#REF!=B37)&amp;CHAR(10)),""),
IFERROR(_xlfn.CONCAT(_xlfn._xlws.FILTER(Mapping_Devices_Screens[Scope],Mapping_Devices_Screens[NIST Control]=B37)&amp;CHAR(10)),""),
IFERROR(_xlfn.CONCAT(_xlfn._xlws.FILTER(Mapping_Devices_Smartphone[Scope],Mapping_Devices_Smartphone[NIST Control]=B37)&amp;CHAR(10)),"")
)</f>
        <v/>
      </c>
      <c r="H37" s="190">
        <f>SUMIF(Mapping_Appliance[NIST Control],B37,Mapping_Appliance[Total emissions (kgC02e)])</f>
        <v>0</v>
      </c>
      <c r="I37" s="191" t="str" cm="1">
        <f t="array" ref="I37">IFERROR(_xlfn.CONCAT(_xlfn._xlws.FILTER(Mapping_Appliance[Scope],Mapping_Appliance[NIST Control]=B37)&amp;CHAR(10)),"")</f>
        <v/>
      </c>
      <c r="J37" s="190">
        <f>SUMIF(Mapping_Servers_Backup[NIST Control],B37,Mapping_Servers_Backup[Total emissions (kgC02e)])</f>
        <v>0</v>
      </c>
      <c r="K37" s="191" t="str" cm="1">
        <f t="array" ref="K37">_xlfn.CONCAT(
IFERROR(_xlfn.CONCAT(_xlfn._xlws.FILTER(Mapping_Non_Cyber_Servers[Scope],Mapping_Non_Cyber_Servers[NIST Control]=B37)&amp;CHAR(10)),""),
IFERROR(_xlfn.CONCAT(_xlfn._xlws.FILTER(Mapping_Servers_Backup[Scope],Mapping_Servers_Backup[NIST Control]=B37)&amp;CHAR(10)),""),
)</f>
        <v/>
      </c>
      <c r="L37" s="190">
        <f>SUMIF(Mapping_Solutions_On_Premise[NIST Control],B37,Mapping_Solutions_On_Premise[Total NIST carbon emission (kgCO2e)])
+SUMIF(Mapping_Solutions_Cloud[NIST Control],B37,Mapping_Solutions_Cloud[Total NIST carbon emission (kgCO2e)])</f>
        <v>0</v>
      </c>
      <c r="M37" s="191" t="str" cm="1">
        <f t="array" ref="M37">_xlfn.CONCAT(
IFERROR(_xlfn.CONCAT(_xlfn._xlws.FILTER(Mapping_Solutions_On_Premise[Application name],#REF!=B37)&amp;CHAR(10)),""),
IFERROR(_xlfn.CONCAT(_xlfn._xlws.FILTER(Mapping_Solutions_Cloud[Application name],#REF!=B37)&amp;CHAR(10)),"")
)</f>
        <v/>
      </c>
      <c r="N37" s="190">
        <f>SUMIF(Mapping_Externals_TM[NIST Control],B37,Mapping_Externals_TM[NIST carbon emission (kgCO2e)])
+SUMIF(Mapping_Externals_Fixed_Price[NIST Control],B37,Mapping_Externals_Fixed_Price[NIST carbon emission (kgCO2e)])</f>
        <v>0</v>
      </c>
      <c r="O37" s="191" t="str" cm="1">
        <f t="array" ref="O37">_xlfn.CONCAT(
IFERROR(_xlfn.CONCAT(_xlfn._xlws.FILTER(Mapping_Externals_TM[Service name],#REF!=B37)&amp;CHAR(10)),""),
IFERROR(_xlfn.CONCAT(_xlfn._xlws.FILTER(Mapping_Externals_Fixed_Price[Service name],#REF!=B37)&amp;CHAR(10)),""))</f>
        <v/>
      </c>
      <c r="P37" s="190">
        <f>SUMIF(Mapping_Travel[NIST Control],B37,Mapping_Travel[Total emissions (kgC02e)])</f>
        <v>0</v>
      </c>
      <c r="Q37" s="192" t="str" cm="1">
        <f t="array" ref="Q37">IFERROR(_xlfn.CONCAT(_xlfn._xlws.FILTER(Mapping_Travel[Type of transportation],Mapping_Travel[NIST Control]=B37)&amp;CHAR(10)),"")</f>
        <v/>
      </c>
      <c r="R37" s="190">
        <f>SUMIF(Mapping_Non_Cyber_Workstation_Laptop[NIST Control],B37,Mapping_Non_Cyber_Workstation_Laptop[Total emissions (kgC02e)])
+SUMIF(Mapping_Non_Cyber_Workstation_Desktop[NIST Control],B37,Mapping_Non_Cyber_Workstation_Desktop[Total emissions (kgC02e)])
+SUMIF(Mapping_Non_Cyber_VDI[NIST Control],B37,Mapping_Non_Cyber_VDI[Total emissions (kgC02e)])
+SUMIF(Mapping_Non_Cyber_Servers[NIST Control],B37,Mapping_Non_Cyber_Servers[Total emissions (kgC02e)])</f>
        <v>0</v>
      </c>
      <c r="S37" s="191" t="str" cm="1">
        <f t="array" ref="S37">_xlfn.CONCAT(
IFERROR(_xlfn.CONCAT(_xlfn._xlws.FILTER(Mapping_Non_Cyber_Workstation_Laptop[Scope],Mapping_Non_Cyber_Workstation_Laptop[NIST Control]=B37)&amp;CHAR(10)),""),
IFERROR(_xlfn.CONCAT(_xlfn._xlws.FILTER(Mapping_Non_Cyber_Workstation_Desktop[Scope],Mapping_Non_Cyber_Workstation_Desktop[NIST Control]=B37)&amp;CHAR(10)),""),
IFERROR(_xlfn.CONCAT(_xlfn._xlws.FILTER(Mapping_Non_Cyber_VDI[Scope],Mapping_Non_Cyber_VDI[NIST Control]=B37)&amp;CHAR(10)),""),
IFERROR(_xlfn.CONCAT(_xlfn._xlws.FILTER(Mapping_Non_Cyber_Servers[Scope],Mapping_Non_Cyber_Servers[NIST Control]=B37)&amp;CHAR(10)),"")
)</f>
        <v/>
      </c>
    </row>
    <row r="38" spans="1:19" ht="43.5">
      <c r="A38" s="27" t="s">
        <v>18</v>
      </c>
      <c r="B38" s="134" t="s">
        <v>65</v>
      </c>
      <c r="C38" s="27" t="s">
        <v>732</v>
      </c>
      <c r="D38"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8" s="33">
        <f>Dashboard_Per_Control[[#This Row],[Total yearly CO2e emissions (kgCO2e)]]/(1000*Total)</f>
        <v>0</v>
      </c>
      <c r="F38" s="190">
        <f xml:space="preserve">
SUMIF(Mapping_Devices_Workstation_Laptop[NIST Control],B38,Mapping_Devices_Workstation_Laptop[Total emissions (kgC02e)])
+SUMIF(Mapping_Devices_Workstation_Desktop[NIST Control],B38,Mapping_Devices_Workstation_Desktop[Total emissions (kgC02e)])
+SUMIF(Mapping_Devices_Screens[NIST Control],B38,Mapping_Devices_Screens[Total emissions (kgC02e)])+SUMIF(Mapping_Devices_Smartphone[NIST Control],B38,Mapping_Devices_Smartphone[Total emissions (kgC02e)])</f>
        <v>0</v>
      </c>
      <c r="G38" s="191" t="str" cm="1">
        <f t="array" ref="G38">_xlfn.CONCAT(
IFERROR(_xlfn.CONCAT(_xlfn._xlws.FILTER(Mapping_Devices_Workstation_Laptop[Scope],Mapping_Devices_Workstation_Laptop[NIST Control]=B38)&amp;CHAR(10)),""),
IFERROR(_xlfn.CONCAT(_xlfn._xlws.FILTER(#REF!,#REF!=B38)&amp;CHAR(10)),""),
IFERROR(_xlfn.CONCAT(_xlfn._xlws.FILTER(Mapping_Devices_Screens[Scope],Mapping_Devices_Screens[NIST Control]=B38)&amp;CHAR(10)),""),
IFERROR(_xlfn.CONCAT(_xlfn._xlws.FILTER(Mapping_Devices_Smartphone[Scope],Mapping_Devices_Smartphone[NIST Control]=B38)&amp;CHAR(10)),"")
)</f>
        <v/>
      </c>
      <c r="H38" s="190">
        <f>SUMIF(Mapping_Appliance[NIST Control],B38,Mapping_Appliance[Total emissions (kgC02e)])</f>
        <v>0</v>
      </c>
      <c r="I38" s="191" t="str" cm="1">
        <f t="array" ref="I38">IFERROR(_xlfn.CONCAT(_xlfn._xlws.FILTER(Mapping_Appliance[Scope],Mapping_Appliance[NIST Control]=B38)&amp;CHAR(10)),"")</f>
        <v/>
      </c>
      <c r="J38" s="190">
        <f>SUMIF(Mapping_Servers_Backup[NIST Control],B38,Mapping_Servers_Backup[Total emissions (kgC02e)])</f>
        <v>0</v>
      </c>
      <c r="K38" s="191" t="str" cm="1">
        <f t="array" ref="K38">_xlfn.CONCAT(
IFERROR(_xlfn.CONCAT(_xlfn._xlws.FILTER(Mapping_Non_Cyber_Servers[Scope],Mapping_Non_Cyber_Servers[NIST Control]=B38)&amp;CHAR(10)),""),
IFERROR(_xlfn.CONCAT(_xlfn._xlws.FILTER(Mapping_Servers_Backup[Scope],Mapping_Servers_Backup[NIST Control]=B38)&amp;CHAR(10)),""),
)</f>
        <v/>
      </c>
      <c r="L38" s="190">
        <f>SUMIF(Mapping_Solutions_On_Premise[NIST Control],B38,Mapping_Solutions_On_Premise[Total NIST carbon emission (kgCO2e)])
+SUMIF(Mapping_Solutions_Cloud[NIST Control],B38,Mapping_Solutions_Cloud[Total NIST carbon emission (kgCO2e)])</f>
        <v>0</v>
      </c>
      <c r="M38" s="191" t="str" cm="1">
        <f t="array" ref="M38">_xlfn.CONCAT(
IFERROR(_xlfn.CONCAT(_xlfn._xlws.FILTER(Mapping_Solutions_On_Premise[Application name],#REF!=B38)&amp;CHAR(10)),""),
IFERROR(_xlfn.CONCAT(_xlfn._xlws.FILTER(Mapping_Solutions_Cloud[Application name],#REF!=B38)&amp;CHAR(10)),"")
)</f>
        <v/>
      </c>
      <c r="N38" s="190">
        <f>SUMIF(Mapping_Externals_TM[NIST Control],B38,Mapping_Externals_TM[NIST carbon emission (kgCO2e)])
+SUMIF(Mapping_Externals_Fixed_Price[NIST Control],B38,Mapping_Externals_Fixed_Price[NIST carbon emission (kgCO2e)])</f>
        <v>0</v>
      </c>
      <c r="O38" s="191" t="str" cm="1">
        <f t="array" ref="O38">_xlfn.CONCAT(
IFERROR(_xlfn.CONCAT(_xlfn._xlws.FILTER(Mapping_Externals_TM[Service name],#REF!=B38)&amp;CHAR(10)),""),
IFERROR(_xlfn.CONCAT(_xlfn._xlws.FILTER(Mapping_Externals_Fixed_Price[Service name],#REF!=B38)&amp;CHAR(10)),""))</f>
        <v/>
      </c>
      <c r="P38" s="190">
        <f>SUMIF(Mapping_Travel[NIST Control],B38,Mapping_Travel[Total emissions (kgC02e)])</f>
        <v>0</v>
      </c>
      <c r="Q38" s="192" t="str" cm="1">
        <f t="array" ref="Q38">IFERROR(_xlfn.CONCAT(_xlfn._xlws.FILTER(Mapping_Travel[Type of transportation],Mapping_Travel[NIST Control]=B38)&amp;CHAR(10)),"")</f>
        <v/>
      </c>
      <c r="R38" s="190">
        <f>SUMIF(Mapping_Non_Cyber_Workstation_Laptop[NIST Control],B38,Mapping_Non_Cyber_Workstation_Laptop[Total emissions (kgC02e)])
+SUMIF(Mapping_Non_Cyber_Workstation_Desktop[NIST Control],B38,Mapping_Non_Cyber_Workstation_Desktop[Total emissions (kgC02e)])
+SUMIF(Mapping_Non_Cyber_VDI[NIST Control],B38,Mapping_Non_Cyber_VDI[Total emissions (kgC02e)])
+SUMIF(Mapping_Non_Cyber_Servers[NIST Control],B38,Mapping_Non_Cyber_Servers[Total emissions (kgC02e)])</f>
        <v>0</v>
      </c>
      <c r="S38" s="191" t="str" cm="1">
        <f t="array" ref="S38">_xlfn.CONCAT(
IFERROR(_xlfn.CONCAT(_xlfn._xlws.FILTER(Mapping_Non_Cyber_Workstation_Laptop[Scope],Mapping_Non_Cyber_Workstation_Laptop[NIST Control]=B38)&amp;CHAR(10)),""),
IFERROR(_xlfn.CONCAT(_xlfn._xlws.FILTER(Mapping_Non_Cyber_Workstation_Desktop[Scope],Mapping_Non_Cyber_Workstation_Desktop[NIST Control]=B38)&amp;CHAR(10)),""),
IFERROR(_xlfn.CONCAT(_xlfn._xlws.FILTER(Mapping_Non_Cyber_VDI[Scope],Mapping_Non_Cyber_VDI[NIST Control]=B38)&amp;CHAR(10)),""),
IFERROR(_xlfn.CONCAT(_xlfn._xlws.FILTER(Mapping_Non_Cyber_Servers[Scope],Mapping_Non_Cyber_Servers[NIST Control]=B38)&amp;CHAR(10)),"")
)</f>
        <v/>
      </c>
    </row>
    <row r="39" spans="1:19" ht="43.5">
      <c r="A39" s="27" t="s">
        <v>18</v>
      </c>
      <c r="B39" s="134" t="s">
        <v>67</v>
      </c>
      <c r="C39" s="27" t="s">
        <v>733</v>
      </c>
      <c r="D39"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39" s="33">
        <f>Dashboard_Per_Control[[#This Row],[Total yearly CO2e emissions (kgCO2e)]]/(1000*Total)</f>
        <v>0</v>
      </c>
      <c r="F39" s="190">
        <f xml:space="preserve">
SUMIF(Mapping_Devices_Workstation_Laptop[NIST Control],B39,Mapping_Devices_Workstation_Laptop[Total emissions (kgC02e)])
+SUMIF(Mapping_Devices_Workstation_Desktop[NIST Control],B39,Mapping_Devices_Workstation_Desktop[Total emissions (kgC02e)])
+SUMIF(Mapping_Devices_Screens[NIST Control],B39,Mapping_Devices_Screens[Total emissions (kgC02e)])+SUMIF(Mapping_Devices_Smartphone[NIST Control],B39,Mapping_Devices_Smartphone[Total emissions (kgC02e)])</f>
        <v>0</v>
      </c>
      <c r="G39" s="191" t="str" cm="1">
        <f t="array" ref="G39">_xlfn.CONCAT(
IFERROR(_xlfn.CONCAT(_xlfn._xlws.FILTER(Mapping_Devices_Workstation_Laptop[Scope],Mapping_Devices_Workstation_Laptop[NIST Control]=B39)&amp;CHAR(10)),""),
IFERROR(_xlfn.CONCAT(_xlfn._xlws.FILTER(#REF!,#REF!=B39)&amp;CHAR(10)),""),
IFERROR(_xlfn.CONCAT(_xlfn._xlws.FILTER(Mapping_Devices_Screens[Scope],Mapping_Devices_Screens[NIST Control]=B39)&amp;CHAR(10)),""),
IFERROR(_xlfn.CONCAT(_xlfn._xlws.FILTER(Mapping_Devices_Smartphone[Scope],Mapping_Devices_Smartphone[NIST Control]=B39)&amp;CHAR(10)),"")
)</f>
        <v/>
      </c>
      <c r="H39" s="190">
        <f>SUMIF(Mapping_Appliance[NIST Control],B39,Mapping_Appliance[Total emissions (kgC02e)])</f>
        <v>0</v>
      </c>
      <c r="I39" s="191" t="str" cm="1">
        <f t="array" ref="I39">IFERROR(_xlfn.CONCAT(_xlfn._xlws.FILTER(Mapping_Appliance[Scope],Mapping_Appliance[NIST Control]=B39)&amp;CHAR(10)),"")</f>
        <v/>
      </c>
      <c r="J39" s="190">
        <f>SUMIF(Mapping_Servers_Backup[NIST Control],B39,Mapping_Servers_Backup[Total emissions (kgC02e)])</f>
        <v>0</v>
      </c>
      <c r="K39" s="191" t="str" cm="1">
        <f t="array" ref="K39">_xlfn.CONCAT(
IFERROR(_xlfn.CONCAT(_xlfn._xlws.FILTER(Mapping_Non_Cyber_Servers[Scope],Mapping_Non_Cyber_Servers[NIST Control]=B39)&amp;CHAR(10)),""),
IFERROR(_xlfn.CONCAT(_xlfn._xlws.FILTER(Mapping_Servers_Backup[Scope],Mapping_Servers_Backup[NIST Control]=B39)&amp;CHAR(10)),""),
)</f>
        <v/>
      </c>
      <c r="L39" s="190">
        <f>SUMIF(Mapping_Solutions_On_Premise[NIST Control],B39,Mapping_Solutions_On_Premise[Total NIST carbon emission (kgCO2e)])
+SUMIF(Mapping_Solutions_Cloud[NIST Control],B39,Mapping_Solutions_Cloud[Total NIST carbon emission (kgCO2e)])</f>
        <v>0</v>
      </c>
      <c r="M39" s="191" t="str" cm="1">
        <f t="array" ref="M39">_xlfn.CONCAT(
IFERROR(_xlfn.CONCAT(_xlfn._xlws.FILTER(Mapping_Solutions_On_Premise[Application name],#REF!=B39)&amp;CHAR(10)),""),
IFERROR(_xlfn.CONCAT(_xlfn._xlws.FILTER(Mapping_Solutions_Cloud[Application name],#REF!=B39)&amp;CHAR(10)),"")
)</f>
        <v/>
      </c>
      <c r="N39" s="190">
        <f>SUMIF(Mapping_Externals_TM[NIST Control],B39,Mapping_Externals_TM[NIST carbon emission (kgCO2e)])
+SUMIF(Mapping_Externals_Fixed_Price[NIST Control],B39,Mapping_Externals_Fixed_Price[NIST carbon emission (kgCO2e)])</f>
        <v>0</v>
      </c>
      <c r="O39" s="191" t="str" cm="1">
        <f t="array" ref="O39">_xlfn.CONCAT(
IFERROR(_xlfn.CONCAT(_xlfn._xlws.FILTER(Mapping_Externals_TM[Service name],#REF!=B39)&amp;CHAR(10)),""),
IFERROR(_xlfn.CONCAT(_xlfn._xlws.FILTER(Mapping_Externals_Fixed_Price[Service name],#REF!=B39)&amp;CHAR(10)),""))</f>
        <v/>
      </c>
      <c r="P39" s="190">
        <f>SUMIF(Mapping_Travel[NIST Control],B39,Mapping_Travel[Total emissions (kgC02e)])</f>
        <v>0</v>
      </c>
      <c r="Q39" s="192" t="str" cm="1">
        <f t="array" ref="Q39">IFERROR(_xlfn.CONCAT(_xlfn._xlws.FILTER(Mapping_Travel[Type of transportation],Mapping_Travel[NIST Control]=B39)&amp;CHAR(10)),"")</f>
        <v/>
      </c>
      <c r="R39" s="190">
        <f>SUMIF(Mapping_Non_Cyber_Workstation_Laptop[NIST Control],B39,Mapping_Non_Cyber_Workstation_Laptop[Total emissions (kgC02e)])
+SUMIF(Mapping_Non_Cyber_Workstation_Desktop[NIST Control],B39,Mapping_Non_Cyber_Workstation_Desktop[Total emissions (kgC02e)])
+SUMIF(Mapping_Non_Cyber_VDI[NIST Control],B39,Mapping_Non_Cyber_VDI[Total emissions (kgC02e)])
+SUMIF(Mapping_Non_Cyber_Servers[NIST Control],B39,Mapping_Non_Cyber_Servers[Total emissions (kgC02e)])</f>
        <v>0</v>
      </c>
      <c r="S39" s="191" t="str" cm="1">
        <f t="array" ref="S39">_xlfn.CONCAT(
IFERROR(_xlfn.CONCAT(_xlfn._xlws.FILTER(Mapping_Non_Cyber_Workstation_Laptop[Scope],Mapping_Non_Cyber_Workstation_Laptop[NIST Control]=B39)&amp;CHAR(10)),""),
IFERROR(_xlfn.CONCAT(_xlfn._xlws.FILTER(Mapping_Non_Cyber_Workstation_Desktop[Scope],Mapping_Non_Cyber_Workstation_Desktop[NIST Control]=B39)&amp;CHAR(10)),""),
IFERROR(_xlfn.CONCAT(_xlfn._xlws.FILTER(Mapping_Non_Cyber_VDI[Scope],Mapping_Non_Cyber_VDI[NIST Control]=B39)&amp;CHAR(10)),""),
IFERROR(_xlfn.CONCAT(_xlfn._xlws.FILTER(Mapping_Non_Cyber_Servers[Scope],Mapping_Non_Cyber_Servers[NIST Control]=B39)&amp;CHAR(10)),"")
)</f>
        <v/>
      </c>
    </row>
    <row r="40" spans="1:19" ht="362.45">
      <c r="A40" s="27" t="s">
        <v>18</v>
      </c>
      <c r="B40" s="134" t="s">
        <v>69</v>
      </c>
      <c r="C40" s="27" t="s">
        <v>734</v>
      </c>
      <c r="D40"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8116.639039083333</v>
      </c>
      <c r="E40" s="33">
        <f>Dashboard_Per_Control[[#This Row],[Total yearly CO2e emissions (kgCO2e)]]/(1000*Total)</f>
        <v>1.5208304084815924E-3</v>
      </c>
      <c r="F40" s="190">
        <f xml:space="preserve">
SUMIF(Mapping_Devices_Workstation_Laptop[NIST Control],B40,Mapping_Devices_Workstation_Laptop[Total emissions (kgC02e)])
+SUMIF(Mapping_Devices_Workstation_Desktop[NIST Control],B40,Mapping_Devices_Workstation_Desktop[Total emissions (kgC02e)])
+SUMIF(Mapping_Devices_Screens[NIST Control],B40,Mapping_Devices_Screens[Total emissions (kgC02e)])+SUMIF(Mapping_Devices_Smartphone[NIST Control],B40,Mapping_Devices_Smartphone[Total emissions (kgC02e)])</f>
        <v>0</v>
      </c>
      <c r="G40" s="191" t="str" cm="1">
        <f t="array" ref="G40">_xlfn.CONCAT(
IFERROR(_xlfn.CONCAT(_xlfn._xlws.FILTER(Mapping_Devices_Workstation_Laptop[Scope],Mapping_Devices_Workstation_Laptop[NIST Control]=B40)&amp;CHAR(10)),""),
IFERROR(_xlfn.CONCAT(_xlfn._xlws.FILTER(#REF!,#REF!=B40)&amp;CHAR(10)),""),
IFERROR(_xlfn.CONCAT(_xlfn._xlws.FILTER(Mapping_Devices_Screens[Scope],Mapping_Devices_Screens[NIST Control]=B40)&amp;CHAR(10)),""),
IFERROR(_xlfn.CONCAT(_xlfn._xlws.FILTER(Mapping_Devices_Smartphone[Scope],Mapping_Devices_Smartphone[NIST Control]=B40)&amp;CHAR(10)),"")
)</f>
        <v/>
      </c>
      <c r="H40" s="190">
        <f>SUMIF(Mapping_Appliance[NIST Control],B40,Mapping_Appliance[Total emissions (kgC02e)])</f>
        <v>0</v>
      </c>
      <c r="I40" s="191" t="str" cm="1">
        <f t="array" ref="I40">IFERROR(_xlfn.CONCAT(_xlfn._xlws.FILTER(Mapping_Appliance[Scope],Mapping_Appliance[NIST Control]=B40)&amp;CHAR(10)),"")</f>
        <v/>
      </c>
      <c r="J40" s="190">
        <f>SUMIF(Mapping_Servers_Backup[NIST Control],B40,Mapping_Servers_Backup[Total emissions (kgC02e)])</f>
        <v>0</v>
      </c>
      <c r="K40" s="191" t="str" cm="1">
        <f t="array" ref="K40">_xlfn.CONCAT(
IFERROR(_xlfn.CONCAT(_xlfn._xlws.FILTER(Mapping_Non_Cyber_Servers[Scope],Mapping_Non_Cyber_Servers[NIST Control]=B40)&amp;CHAR(10)),""),
IFERROR(_xlfn.CONCAT(_xlfn._xlws.FILTER(Mapping_Servers_Backup[Scope],Mapping_Servers_Backup[NIST Control]=B40)&amp;CHAR(10)),""),
)</f>
        <v xml:space="preserve">In on-premise servers, the CPU/RAM of non cyber servers for log generation
</v>
      </c>
      <c r="L40" s="190">
        <f>SUMIF(Mapping_Solutions_On_Premise[NIST Control],B40,Mapping_Solutions_On_Premise[Total NIST carbon emission (kgCO2e)])
+SUMIF(Mapping_Solutions_Cloud[NIST Control],B40,Mapping_Solutions_Cloud[Total NIST carbon emission (kgCO2e)])</f>
        <v>0</v>
      </c>
      <c r="M40" s="191" t="str" cm="1">
        <f t="array" ref="M40">_xlfn.CONCAT(
IFERROR(_xlfn.CONCAT(_xlfn._xlws.FILTER(Mapping_Solutions_On_Premise[Application name],#REF!=B40)&amp;CHAR(10)),""),
IFERROR(_xlfn.CONCAT(_xlfn._xlws.FILTER(Mapping_Solutions_Cloud[Application name],#REF!=B40)&amp;CHAR(10)),"")
)</f>
        <v/>
      </c>
      <c r="N40" s="190">
        <f>SUMIF(Mapping_Externals_TM[NIST Control],B40,Mapping_Externals_TM[NIST carbon emission (kgCO2e)])
+SUMIF(Mapping_Externals_Fixed_Price[NIST Control],B40,Mapping_Externals_Fixed_Price[NIST carbon emission (kgCO2e)])</f>
        <v>0</v>
      </c>
      <c r="O40" s="191" t="str" cm="1">
        <f t="array" ref="O40">_xlfn.CONCAT(
IFERROR(_xlfn.CONCAT(_xlfn._xlws.FILTER(Mapping_Externals_TM[Service name],#REF!=B40)&amp;CHAR(10)),""),
IFERROR(_xlfn.CONCAT(_xlfn._xlws.FILTER(Mapping_Externals_Fixed_Price[Service name],#REF!=B40)&amp;CHAR(10)),""))</f>
        <v/>
      </c>
      <c r="P40" s="190">
        <f>SUMIF(Mapping_Travel[NIST Control],B40,Mapping_Travel[Total emissions (kgC02e)])</f>
        <v>0</v>
      </c>
      <c r="Q40" s="192" t="str" cm="1">
        <f t="array" ref="Q40">IFERROR(_xlfn.CONCAT(_xlfn._xlws.FILTER(Mapping_Travel[Type of transportation],Mapping_Travel[NIST Control]=B40)&amp;CHAR(10)),"")</f>
        <v/>
      </c>
      <c r="R40" s="190">
        <f>SUMIF(Mapping_Non_Cyber_Workstation_Laptop[NIST Control],B40,Mapping_Non_Cyber_Workstation_Laptop[Total emissions (kgC02e)])
+SUMIF(Mapping_Non_Cyber_Workstation_Desktop[NIST Control],B40,Mapping_Non_Cyber_Workstation_Desktop[Total emissions (kgC02e)])
+SUMIF(Mapping_Non_Cyber_VDI[NIST Control],B40,Mapping_Non_Cyber_VDI[Total emissions (kgC02e)])
+SUMIF(Mapping_Non_Cyber_Servers[NIST Control],B40,Mapping_Non_Cyber_Servers[Total emissions (kgC02e)])</f>
        <v>8116.639039083333</v>
      </c>
      <c r="S40" s="191" t="str" cm="1">
        <f t="array" ref="S40">_xlfn.CONCAT(
IFERROR(_xlfn.CONCAT(_xlfn._xlws.FILTER(Mapping_Non_Cyber_Workstation_Laptop[Scope],Mapping_Non_Cyber_Workstation_Laptop[NIST Control]=B40)&amp;CHAR(10)),""),
IFERROR(_xlfn.CONCAT(_xlfn._xlws.FILTER(Mapping_Non_Cyber_Workstation_Desktop[Scope],Mapping_Non_Cyber_Workstation_Desktop[NIST Control]=B40)&amp;CHAR(10)),""),
IFERROR(_xlfn.CONCAT(_xlfn._xlws.FILTER(Mapping_Non_Cyber_VDI[Scope],Mapping_Non_Cyber_VDI[NIST Control]=B40)&amp;CHAR(10)),""),
IFERROR(_xlfn.CONCAT(_xlfn._xlws.FILTER(Mapping_Non_Cyber_Servers[Scope],Mapping_Non_Cyber_Servers[NIST Control]=B40)&amp;CHAR(10)),"")
)</f>
        <v xml:space="preserve">Workstations used by internal non-cyber employees - CPU/RAM used for logs generation
Workstations used by non-cyber contractors given by your company - CPU/RAM used for logs generation
Workstations used by internal non-cyber employees - CPU/RAM used for logs generation
Workstations used by non-cyber contractors given by your company - CPU/RAM used for logs generation
In on-premise servers, the CPU/RAM of non cyber servers for log generation
</v>
      </c>
    </row>
    <row r="41" spans="1:19" ht="29.1">
      <c r="A41" s="27" t="s">
        <v>18</v>
      </c>
      <c r="B41" s="134" t="s">
        <v>71</v>
      </c>
      <c r="C41" s="27" t="s">
        <v>735</v>
      </c>
      <c r="D41"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41" s="33">
        <f>Dashboard_Per_Control[[#This Row],[Total yearly CO2e emissions (kgCO2e)]]/(1000*Total)</f>
        <v>0</v>
      </c>
      <c r="F41" s="190">
        <f xml:space="preserve">
SUMIF(Mapping_Devices_Workstation_Laptop[NIST Control],B41,Mapping_Devices_Workstation_Laptop[Total emissions (kgC02e)])
+SUMIF(Mapping_Devices_Workstation_Desktop[NIST Control],B41,Mapping_Devices_Workstation_Desktop[Total emissions (kgC02e)])
+SUMIF(Mapping_Devices_Screens[NIST Control],B41,Mapping_Devices_Screens[Total emissions (kgC02e)])+SUMIF(Mapping_Devices_Smartphone[NIST Control],B41,Mapping_Devices_Smartphone[Total emissions (kgC02e)])</f>
        <v>0</v>
      </c>
      <c r="G41" s="191" t="str" cm="1">
        <f t="array" ref="G41">_xlfn.CONCAT(
IFERROR(_xlfn.CONCAT(_xlfn._xlws.FILTER(Mapping_Devices_Workstation_Laptop[Scope],Mapping_Devices_Workstation_Laptop[NIST Control]=B41)&amp;CHAR(10)),""),
IFERROR(_xlfn.CONCAT(_xlfn._xlws.FILTER(#REF!,#REF!=B41)&amp;CHAR(10)),""),
IFERROR(_xlfn.CONCAT(_xlfn._xlws.FILTER(Mapping_Devices_Screens[Scope],Mapping_Devices_Screens[NIST Control]=B41)&amp;CHAR(10)),""),
IFERROR(_xlfn.CONCAT(_xlfn._xlws.FILTER(Mapping_Devices_Smartphone[Scope],Mapping_Devices_Smartphone[NIST Control]=B41)&amp;CHAR(10)),"")
)</f>
        <v/>
      </c>
      <c r="H41" s="190">
        <f>SUMIF(Mapping_Appliance[NIST Control],B41,Mapping_Appliance[Total emissions (kgC02e)])</f>
        <v>0</v>
      </c>
      <c r="I41" s="191" t="str" cm="1">
        <f t="array" ref="I41">IFERROR(_xlfn.CONCAT(_xlfn._xlws.FILTER(Mapping_Appliance[Scope],Mapping_Appliance[NIST Control]=B41)&amp;CHAR(10)),"")</f>
        <v/>
      </c>
      <c r="J41" s="190">
        <f>SUMIF(Mapping_Servers_Backup[NIST Control],B41,Mapping_Servers_Backup[Total emissions (kgC02e)])</f>
        <v>0</v>
      </c>
      <c r="K41" s="191" t="str" cm="1">
        <f t="array" ref="K41">_xlfn.CONCAT(
IFERROR(_xlfn.CONCAT(_xlfn._xlws.FILTER(Mapping_Non_Cyber_Servers[Scope],Mapping_Non_Cyber_Servers[NIST Control]=B41)&amp;CHAR(10)),""),
IFERROR(_xlfn.CONCAT(_xlfn._xlws.FILTER(Mapping_Servers_Backup[Scope],Mapping_Servers_Backup[NIST Control]=B41)&amp;CHAR(10)),""),
)</f>
        <v/>
      </c>
      <c r="L41" s="190">
        <f>SUMIF(Mapping_Solutions_On_Premise[NIST Control],B41,Mapping_Solutions_On_Premise[Total NIST carbon emission (kgCO2e)])
+SUMIF(Mapping_Solutions_Cloud[NIST Control],B41,Mapping_Solutions_Cloud[Total NIST carbon emission (kgCO2e)])</f>
        <v>0</v>
      </c>
      <c r="M41" s="191" t="str" cm="1">
        <f t="array" ref="M41">_xlfn.CONCAT(
IFERROR(_xlfn.CONCAT(_xlfn._xlws.FILTER(Mapping_Solutions_On_Premise[Application name],#REF!=B41)&amp;CHAR(10)),""),
IFERROR(_xlfn.CONCAT(_xlfn._xlws.FILTER(Mapping_Solutions_Cloud[Application name],#REF!=B41)&amp;CHAR(10)),"")
)</f>
        <v/>
      </c>
      <c r="N41" s="190">
        <f>SUMIF(Mapping_Externals_TM[NIST Control],B41,Mapping_Externals_TM[NIST carbon emission (kgCO2e)])
+SUMIF(Mapping_Externals_Fixed_Price[NIST Control],B41,Mapping_Externals_Fixed_Price[NIST carbon emission (kgCO2e)])</f>
        <v>0</v>
      </c>
      <c r="O41" s="191" t="str" cm="1">
        <f t="array" ref="O41">_xlfn.CONCAT(
IFERROR(_xlfn.CONCAT(_xlfn._xlws.FILTER(Mapping_Externals_TM[Service name],#REF!=B41)&amp;CHAR(10)),""),
IFERROR(_xlfn.CONCAT(_xlfn._xlws.FILTER(Mapping_Externals_Fixed_Price[Service name],#REF!=B41)&amp;CHAR(10)),""))</f>
        <v/>
      </c>
      <c r="P41" s="190">
        <f>SUMIF(Mapping_Travel[NIST Control],B41,Mapping_Travel[Total emissions (kgC02e)])</f>
        <v>0</v>
      </c>
      <c r="Q41" s="192" t="str" cm="1">
        <f t="array" ref="Q41">IFERROR(_xlfn.CONCAT(_xlfn._xlws.FILTER(Mapping_Travel[Type of transportation],Mapping_Travel[NIST Control]=B41)&amp;CHAR(10)),"")</f>
        <v/>
      </c>
      <c r="R41" s="190">
        <f>SUMIF(Mapping_Non_Cyber_Workstation_Laptop[NIST Control],B41,Mapping_Non_Cyber_Workstation_Laptop[Total emissions (kgC02e)])
+SUMIF(Mapping_Non_Cyber_Workstation_Desktop[NIST Control],B41,Mapping_Non_Cyber_Workstation_Desktop[Total emissions (kgC02e)])
+SUMIF(Mapping_Non_Cyber_VDI[NIST Control],B41,Mapping_Non_Cyber_VDI[Total emissions (kgC02e)])
+SUMIF(Mapping_Non_Cyber_Servers[NIST Control],B41,Mapping_Non_Cyber_Servers[Total emissions (kgC02e)])</f>
        <v>0</v>
      </c>
      <c r="S41" s="191" t="str" cm="1">
        <f t="array" ref="S41">_xlfn.CONCAT(
IFERROR(_xlfn.CONCAT(_xlfn._xlws.FILTER(Mapping_Non_Cyber_Workstation_Laptop[Scope],Mapping_Non_Cyber_Workstation_Laptop[NIST Control]=B41)&amp;CHAR(10)),""),
IFERROR(_xlfn.CONCAT(_xlfn._xlws.FILTER(Mapping_Non_Cyber_Workstation_Desktop[Scope],Mapping_Non_Cyber_Workstation_Desktop[NIST Control]=B41)&amp;CHAR(10)),""),
IFERROR(_xlfn.CONCAT(_xlfn._xlws.FILTER(Mapping_Non_Cyber_VDI[Scope],Mapping_Non_Cyber_VDI[NIST Control]=B41)&amp;CHAR(10)),""),
IFERROR(_xlfn.CONCAT(_xlfn._xlws.FILTER(Mapping_Non_Cyber_Servers[Scope],Mapping_Non_Cyber_Servers[NIST Control]=B41)&amp;CHAR(10)),"")
)</f>
        <v/>
      </c>
    </row>
    <row r="42" spans="1:19">
      <c r="A42" s="27" t="s">
        <v>18</v>
      </c>
      <c r="B42" s="134" t="s">
        <v>73</v>
      </c>
      <c r="C42" s="27" t="s">
        <v>736</v>
      </c>
      <c r="D42"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42" s="33">
        <f>Dashboard_Per_Control[[#This Row],[Total yearly CO2e emissions (kgCO2e)]]/(1000*Total)</f>
        <v>0</v>
      </c>
      <c r="F42" s="190">
        <f xml:space="preserve">
SUMIF(Mapping_Devices_Workstation_Laptop[NIST Control],B42,Mapping_Devices_Workstation_Laptop[Total emissions (kgC02e)])
+SUMIF(Mapping_Devices_Workstation_Desktop[NIST Control],B42,Mapping_Devices_Workstation_Desktop[Total emissions (kgC02e)])
+SUMIF(Mapping_Devices_Screens[NIST Control],B42,Mapping_Devices_Screens[Total emissions (kgC02e)])+SUMIF(Mapping_Devices_Smartphone[NIST Control],B42,Mapping_Devices_Smartphone[Total emissions (kgC02e)])</f>
        <v>0</v>
      </c>
      <c r="G42" s="191" t="str" cm="1">
        <f t="array" ref="G42">_xlfn.CONCAT(
IFERROR(_xlfn.CONCAT(_xlfn._xlws.FILTER(Mapping_Devices_Workstation_Laptop[Scope],Mapping_Devices_Workstation_Laptop[NIST Control]=B42)&amp;CHAR(10)),""),
IFERROR(_xlfn.CONCAT(_xlfn._xlws.FILTER(#REF!,#REF!=B42)&amp;CHAR(10)),""),
IFERROR(_xlfn.CONCAT(_xlfn._xlws.FILTER(Mapping_Devices_Screens[Scope],Mapping_Devices_Screens[NIST Control]=B42)&amp;CHAR(10)),""),
IFERROR(_xlfn.CONCAT(_xlfn._xlws.FILTER(Mapping_Devices_Smartphone[Scope],Mapping_Devices_Smartphone[NIST Control]=B42)&amp;CHAR(10)),"")
)</f>
        <v/>
      </c>
      <c r="H42" s="190">
        <f>SUMIF(Mapping_Appliance[NIST Control],B42,Mapping_Appliance[Total emissions (kgC02e)])</f>
        <v>0</v>
      </c>
      <c r="I42" s="191" t="str" cm="1">
        <f t="array" ref="I42">IFERROR(_xlfn.CONCAT(_xlfn._xlws.FILTER(Mapping_Appliance[Scope],Mapping_Appliance[NIST Control]=B42)&amp;CHAR(10)),"")</f>
        <v/>
      </c>
      <c r="J42" s="190">
        <f>SUMIF(Mapping_Servers_Backup[NIST Control],B42,Mapping_Servers_Backup[Total emissions (kgC02e)])</f>
        <v>0</v>
      </c>
      <c r="K42" s="191" t="str" cm="1">
        <f t="array" ref="K42">_xlfn.CONCAT(
IFERROR(_xlfn.CONCAT(_xlfn._xlws.FILTER(Mapping_Non_Cyber_Servers[Scope],Mapping_Non_Cyber_Servers[NIST Control]=B42)&amp;CHAR(10)),""),
IFERROR(_xlfn.CONCAT(_xlfn._xlws.FILTER(Mapping_Servers_Backup[Scope],Mapping_Servers_Backup[NIST Control]=B42)&amp;CHAR(10)),""),
)</f>
        <v/>
      </c>
      <c r="L42" s="190">
        <f>SUMIF(Mapping_Solutions_On_Premise[NIST Control],B42,Mapping_Solutions_On_Premise[Total NIST carbon emission (kgCO2e)])
+SUMIF(Mapping_Solutions_Cloud[NIST Control],B42,Mapping_Solutions_Cloud[Total NIST carbon emission (kgCO2e)])</f>
        <v>0</v>
      </c>
      <c r="M42" s="191" t="str" cm="1">
        <f t="array" ref="M42">_xlfn.CONCAT(
IFERROR(_xlfn.CONCAT(_xlfn._xlws.FILTER(Mapping_Solutions_On_Premise[Application name],#REF!=B42)&amp;CHAR(10)),""),
IFERROR(_xlfn.CONCAT(_xlfn._xlws.FILTER(Mapping_Solutions_Cloud[Application name],#REF!=B42)&amp;CHAR(10)),"")
)</f>
        <v/>
      </c>
      <c r="N42" s="190">
        <f>SUMIF(Mapping_Externals_TM[NIST Control],B42,Mapping_Externals_TM[NIST carbon emission (kgCO2e)])
+SUMIF(Mapping_Externals_Fixed_Price[NIST Control],B42,Mapping_Externals_Fixed_Price[NIST carbon emission (kgCO2e)])</f>
        <v>0</v>
      </c>
      <c r="O42" s="191" t="str" cm="1">
        <f t="array" ref="O42">_xlfn.CONCAT(
IFERROR(_xlfn.CONCAT(_xlfn._xlws.FILTER(Mapping_Externals_TM[Service name],#REF!=B42)&amp;CHAR(10)),""),
IFERROR(_xlfn.CONCAT(_xlfn._xlws.FILTER(Mapping_Externals_Fixed_Price[Service name],#REF!=B42)&amp;CHAR(10)),""))</f>
        <v/>
      </c>
      <c r="P42" s="190">
        <f>SUMIF(Mapping_Travel[NIST Control],B42,Mapping_Travel[Total emissions (kgC02e)])</f>
        <v>0</v>
      </c>
      <c r="Q42" s="192" t="str" cm="1">
        <f t="array" ref="Q42">IFERROR(_xlfn.CONCAT(_xlfn._xlws.FILTER(Mapping_Travel[Type of transportation],Mapping_Travel[NIST Control]=B42)&amp;CHAR(10)),"")</f>
        <v/>
      </c>
      <c r="R42" s="190">
        <f>SUMIF(Mapping_Non_Cyber_Workstation_Laptop[NIST Control],B42,Mapping_Non_Cyber_Workstation_Laptop[Total emissions (kgC02e)])
+SUMIF(Mapping_Non_Cyber_Workstation_Desktop[NIST Control],B42,Mapping_Non_Cyber_Workstation_Desktop[Total emissions (kgC02e)])
+SUMIF(Mapping_Non_Cyber_VDI[NIST Control],B42,Mapping_Non_Cyber_VDI[Total emissions (kgC02e)])
+SUMIF(Mapping_Non_Cyber_Servers[NIST Control],B42,Mapping_Non_Cyber_Servers[Total emissions (kgC02e)])</f>
        <v>0</v>
      </c>
      <c r="S42" s="191" t="str" cm="1">
        <f t="array" ref="S42">_xlfn.CONCAT(
IFERROR(_xlfn.CONCAT(_xlfn._xlws.FILTER(Mapping_Non_Cyber_Workstation_Laptop[Scope],Mapping_Non_Cyber_Workstation_Laptop[NIST Control]=B42)&amp;CHAR(10)),""),
IFERROR(_xlfn.CONCAT(_xlfn._xlws.FILTER(Mapping_Non_Cyber_Workstation_Desktop[Scope],Mapping_Non_Cyber_Workstation_Desktop[NIST Control]=B42)&amp;CHAR(10)),""),
IFERROR(_xlfn.CONCAT(_xlfn._xlws.FILTER(Mapping_Non_Cyber_VDI[Scope],Mapping_Non_Cyber_VDI[NIST Control]=B42)&amp;CHAR(10)),""),
IFERROR(_xlfn.CONCAT(_xlfn._xlws.FILTER(Mapping_Non_Cyber_Servers[Scope],Mapping_Non_Cyber_Servers[NIST Control]=B42)&amp;CHAR(10)),"")
)</f>
        <v/>
      </c>
    </row>
    <row r="43" spans="1:19" ht="43.5">
      <c r="A43" s="27" t="s">
        <v>18</v>
      </c>
      <c r="B43" s="134" t="s">
        <v>75</v>
      </c>
      <c r="C43" s="27" t="s">
        <v>737</v>
      </c>
      <c r="D43"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15972.790834285715</v>
      </c>
      <c r="E43" s="33">
        <f>Dashboard_Per_Control[[#This Row],[Total yearly CO2e emissions (kgCO2e)]]/(1000*Total)</f>
        <v>2.9928528165570891E-3</v>
      </c>
      <c r="F43" s="190">
        <f xml:space="preserve">
SUMIF(Mapping_Devices_Workstation_Laptop[NIST Control],B43,Mapping_Devices_Workstation_Laptop[Total emissions (kgC02e)])
+SUMIF(Mapping_Devices_Workstation_Desktop[NIST Control],B43,Mapping_Devices_Workstation_Desktop[Total emissions (kgC02e)])
+SUMIF(Mapping_Devices_Screens[NIST Control],B43,Mapping_Devices_Screens[Total emissions (kgC02e)])+SUMIF(Mapping_Devices_Smartphone[NIST Control],B43,Mapping_Devices_Smartphone[Total emissions (kgC02e)])</f>
        <v>0</v>
      </c>
      <c r="G43" s="191" t="str" cm="1">
        <f t="array" ref="G43">_xlfn.CONCAT(
IFERROR(_xlfn.CONCAT(_xlfn._xlws.FILTER(Mapping_Devices_Workstation_Laptop[Scope],Mapping_Devices_Workstation_Laptop[NIST Control]=B43)&amp;CHAR(10)),""),
IFERROR(_xlfn.CONCAT(_xlfn._xlws.FILTER(#REF!,#REF!=B43)&amp;CHAR(10)),""),
IFERROR(_xlfn.CONCAT(_xlfn._xlws.FILTER(Mapping_Devices_Screens[Scope],Mapping_Devices_Screens[NIST Control]=B43)&amp;CHAR(10)),""),
IFERROR(_xlfn.CONCAT(_xlfn._xlws.FILTER(Mapping_Devices_Smartphone[Scope],Mapping_Devices_Smartphone[NIST Control]=B43)&amp;CHAR(10)),"")
)</f>
        <v/>
      </c>
      <c r="H43" s="190">
        <f>SUMIF(Mapping_Appliance[NIST Control],B43,Mapping_Appliance[Total emissions (kgC02e)])</f>
        <v>15972.790834285715</v>
      </c>
      <c r="I43" s="191" t="str" cm="1">
        <f t="array" ref="I43">IFERROR(_xlfn.CONCAT(_xlfn._xlws.FILTER(Mapping_Appliance[Scope],Mapping_Appliance[NIST Control]=B43)&amp;CHAR(10)),"")</f>
        <v xml:space="preserve">IPS/IDS in your entire company
</v>
      </c>
      <c r="J43" s="190">
        <f>SUMIF(Mapping_Servers_Backup[NIST Control],B43,Mapping_Servers_Backup[Total emissions (kgC02e)])</f>
        <v>0</v>
      </c>
      <c r="K43" s="191" t="str" cm="1">
        <f t="array" ref="K43">_xlfn.CONCAT(
IFERROR(_xlfn.CONCAT(_xlfn._xlws.FILTER(Mapping_Non_Cyber_Servers[Scope],Mapping_Non_Cyber_Servers[NIST Control]=B43)&amp;CHAR(10)),""),
IFERROR(_xlfn.CONCAT(_xlfn._xlws.FILTER(Mapping_Servers_Backup[Scope],Mapping_Servers_Backup[NIST Control]=B43)&amp;CHAR(10)),""),
)</f>
        <v/>
      </c>
      <c r="L43" s="190">
        <f>SUMIF(Mapping_Solutions_On_Premise[NIST Control],B43,Mapping_Solutions_On_Premise[Total NIST carbon emission (kgCO2e)])
+SUMIF(Mapping_Solutions_Cloud[NIST Control],B43,Mapping_Solutions_Cloud[Total NIST carbon emission (kgCO2e)])</f>
        <v>0</v>
      </c>
      <c r="M43" s="191" t="str" cm="1">
        <f t="array" ref="M43">_xlfn.CONCAT(
IFERROR(_xlfn.CONCAT(_xlfn._xlws.FILTER(Mapping_Solutions_On_Premise[Application name],#REF!=B43)&amp;CHAR(10)),""),
IFERROR(_xlfn.CONCAT(_xlfn._xlws.FILTER(Mapping_Solutions_Cloud[Application name],#REF!=B43)&amp;CHAR(10)),"")
)</f>
        <v/>
      </c>
      <c r="N43" s="190">
        <f>SUMIF(Mapping_Externals_TM[NIST Control],B43,Mapping_Externals_TM[NIST carbon emission (kgCO2e)])
+SUMIF(Mapping_Externals_Fixed_Price[NIST Control],B43,Mapping_Externals_Fixed_Price[NIST carbon emission (kgCO2e)])</f>
        <v>0</v>
      </c>
      <c r="O43" s="191" t="str" cm="1">
        <f t="array" ref="O43">_xlfn.CONCAT(
IFERROR(_xlfn.CONCAT(_xlfn._xlws.FILTER(Mapping_Externals_TM[Service name],#REF!=B43)&amp;CHAR(10)),""),
IFERROR(_xlfn.CONCAT(_xlfn._xlws.FILTER(Mapping_Externals_Fixed_Price[Service name],#REF!=B43)&amp;CHAR(10)),""))</f>
        <v/>
      </c>
      <c r="P43" s="190">
        <f>SUMIF(Mapping_Travel[NIST Control],B43,Mapping_Travel[Total emissions (kgC02e)])</f>
        <v>0</v>
      </c>
      <c r="Q43" s="192" t="str" cm="1">
        <f t="array" ref="Q43">IFERROR(_xlfn.CONCAT(_xlfn._xlws.FILTER(Mapping_Travel[Type of transportation],Mapping_Travel[NIST Control]=B43)&amp;CHAR(10)),"")</f>
        <v/>
      </c>
      <c r="R43" s="190">
        <f>SUMIF(Mapping_Non_Cyber_Workstation_Laptop[NIST Control],B43,Mapping_Non_Cyber_Workstation_Laptop[Total emissions (kgC02e)])
+SUMIF(Mapping_Non_Cyber_Workstation_Desktop[NIST Control],B43,Mapping_Non_Cyber_Workstation_Desktop[Total emissions (kgC02e)])
+SUMIF(Mapping_Non_Cyber_VDI[NIST Control],B43,Mapping_Non_Cyber_VDI[Total emissions (kgC02e)])
+SUMIF(Mapping_Non_Cyber_Servers[NIST Control],B43,Mapping_Non_Cyber_Servers[Total emissions (kgC02e)])</f>
        <v>0</v>
      </c>
      <c r="S43" s="191" t="str" cm="1">
        <f t="array" ref="S43">_xlfn.CONCAT(
IFERROR(_xlfn.CONCAT(_xlfn._xlws.FILTER(Mapping_Non_Cyber_Workstation_Laptop[Scope],Mapping_Non_Cyber_Workstation_Laptop[NIST Control]=B43)&amp;CHAR(10)),""),
IFERROR(_xlfn.CONCAT(_xlfn._xlws.FILTER(Mapping_Non_Cyber_Workstation_Desktop[Scope],Mapping_Non_Cyber_Workstation_Desktop[NIST Control]=B43)&amp;CHAR(10)),""),
IFERROR(_xlfn.CONCAT(_xlfn._xlws.FILTER(Mapping_Non_Cyber_VDI[Scope],Mapping_Non_Cyber_VDI[NIST Control]=B43)&amp;CHAR(10)),""),
IFERROR(_xlfn.CONCAT(_xlfn._xlws.FILTER(Mapping_Non_Cyber_Servers[Scope],Mapping_Non_Cyber_Servers[NIST Control]=B43)&amp;CHAR(10)),"")
)</f>
        <v/>
      </c>
    </row>
    <row r="44" spans="1:19" ht="29.1">
      <c r="A44" s="27" t="s">
        <v>18</v>
      </c>
      <c r="B44" s="134" t="s">
        <v>77</v>
      </c>
      <c r="C44" s="27" t="s">
        <v>738</v>
      </c>
      <c r="D44"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44" s="33">
        <f>Dashboard_Per_Control[[#This Row],[Total yearly CO2e emissions (kgCO2e)]]/(1000*Total)</f>
        <v>0</v>
      </c>
      <c r="F44" s="190">
        <f xml:space="preserve">
SUMIF(Mapping_Devices_Workstation_Laptop[NIST Control],B44,Mapping_Devices_Workstation_Laptop[Total emissions (kgC02e)])
+SUMIF(Mapping_Devices_Workstation_Desktop[NIST Control],B44,Mapping_Devices_Workstation_Desktop[Total emissions (kgC02e)])
+SUMIF(Mapping_Devices_Screens[NIST Control],B44,Mapping_Devices_Screens[Total emissions (kgC02e)])+SUMIF(Mapping_Devices_Smartphone[NIST Control],B44,Mapping_Devices_Smartphone[Total emissions (kgC02e)])</f>
        <v>0</v>
      </c>
      <c r="G44" s="191" t="str" cm="1">
        <f t="array" ref="G44">_xlfn.CONCAT(
IFERROR(_xlfn.CONCAT(_xlfn._xlws.FILTER(Mapping_Devices_Workstation_Laptop[Scope],Mapping_Devices_Workstation_Laptop[NIST Control]=B44)&amp;CHAR(10)),""),
IFERROR(_xlfn.CONCAT(_xlfn._xlws.FILTER(#REF!,#REF!=B44)&amp;CHAR(10)),""),
IFERROR(_xlfn.CONCAT(_xlfn._xlws.FILTER(Mapping_Devices_Screens[Scope],Mapping_Devices_Screens[NIST Control]=B44)&amp;CHAR(10)),""),
IFERROR(_xlfn.CONCAT(_xlfn._xlws.FILTER(Mapping_Devices_Smartphone[Scope],Mapping_Devices_Smartphone[NIST Control]=B44)&amp;CHAR(10)),"")
)</f>
        <v/>
      </c>
      <c r="H44" s="190">
        <f>SUMIF(Mapping_Appliance[NIST Control],B44,Mapping_Appliance[Total emissions (kgC02e)])</f>
        <v>0</v>
      </c>
      <c r="I44" s="191" t="str" cm="1">
        <f t="array" ref="I44">IFERROR(_xlfn.CONCAT(_xlfn._xlws.FILTER(Mapping_Appliance[Scope],Mapping_Appliance[NIST Control]=B44)&amp;CHAR(10)),"")</f>
        <v/>
      </c>
      <c r="J44" s="190">
        <f>SUMIF(Mapping_Servers_Backup[NIST Control],B44,Mapping_Servers_Backup[Total emissions (kgC02e)])</f>
        <v>0</v>
      </c>
      <c r="K44" s="191" t="str" cm="1">
        <f t="array" ref="K44">_xlfn.CONCAT(
IFERROR(_xlfn.CONCAT(_xlfn._xlws.FILTER(Mapping_Non_Cyber_Servers[Scope],Mapping_Non_Cyber_Servers[NIST Control]=B44)&amp;CHAR(10)),""),
IFERROR(_xlfn.CONCAT(_xlfn._xlws.FILTER(Mapping_Servers_Backup[Scope],Mapping_Servers_Backup[NIST Control]=B44)&amp;CHAR(10)),""),
)</f>
        <v/>
      </c>
      <c r="L44" s="190">
        <f>SUMIF(Mapping_Solutions_On_Premise[NIST Control],B44,Mapping_Solutions_On_Premise[Total NIST carbon emission (kgCO2e)])
+SUMIF(Mapping_Solutions_Cloud[NIST Control],B44,Mapping_Solutions_Cloud[Total NIST carbon emission (kgCO2e)])</f>
        <v>0</v>
      </c>
      <c r="M44" s="191" t="str" cm="1">
        <f t="array" ref="M44">_xlfn.CONCAT(
IFERROR(_xlfn.CONCAT(_xlfn._xlws.FILTER(Mapping_Solutions_On_Premise[Application name],#REF!=B44)&amp;CHAR(10)),""),
IFERROR(_xlfn.CONCAT(_xlfn._xlws.FILTER(Mapping_Solutions_Cloud[Application name],#REF!=B44)&amp;CHAR(10)),"")
)</f>
        <v/>
      </c>
      <c r="N44" s="190">
        <f>SUMIF(Mapping_Externals_TM[NIST Control],B44,Mapping_Externals_TM[NIST carbon emission (kgCO2e)])
+SUMIF(Mapping_Externals_Fixed_Price[NIST Control],B44,Mapping_Externals_Fixed_Price[NIST carbon emission (kgCO2e)])</f>
        <v>0</v>
      </c>
      <c r="O44" s="191" t="str" cm="1">
        <f t="array" ref="O44">_xlfn.CONCAT(
IFERROR(_xlfn.CONCAT(_xlfn._xlws.FILTER(Mapping_Externals_TM[Service name],#REF!=B44)&amp;CHAR(10)),""),
IFERROR(_xlfn.CONCAT(_xlfn._xlws.FILTER(Mapping_Externals_Fixed_Price[Service name],#REF!=B44)&amp;CHAR(10)),""))</f>
        <v/>
      </c>
      <c r="P44" s="190">
        <f>SUMIF(Mapping_Travel[NIST Control],B44,Mapping_Travel[Total emissions (kgC02e)])</f>
        <v>0</v>
      </c>
      <c r="Q44" s="192" t="str" cm="1">
        <f t="array" ref="Q44">IFERROR(_xlfn.CONCAT(_xlfn._xlws.FILTER(Mapping_Travel[Type of transportation],Mapping_Travel[NIST Control]=B44)&amp;CHAR(10)),"")</f>
        <v/>
      </c>
      <c r="R44" s="190">
        <f>SUMIF(Mapping_Non_Cyber_Workstation_Laptop[NIST Control],B44,Mapping_Non_Cyber_Workstation_Laptop[Total emissions (kgC02e)])
+SUMIF(Mapping_Non_Cyber_Workstation_Desktop[NIST Control],B44,Mapping_Non_Cyber_Workstation_Desktop[Total emissions (kgC02e)])
+SUMIF(Mapping_Non_Cyber_VDI[NIST Control],B44,Mapping_Non_Cyber_VDI[Total emissions (kgC02e)])
+SUMIF(Mapping_Non_Cyber_Servers[NIST Control],B44,Mapping_Non_Cyber_Servers[Total emissions (kgC02e)])</f>
        <v>0</v>
      </c>
      <c r="S44" s="191" t="str" cm="1">
        <f t="array" ref="S44">_xlfn.CONCAT(
IFERROR(_xlfn.CONCAT(_xlfn._xlws.FILTER(Mapping_Non_Cyber_Workstation_Laptop[Scope],Mapping_Non_Cyber_Workstation_Laptop[NIST Control]=B44)&amp;CHAR(10)),""),
IFERROR(_xlfn.CONCAT(_xlfn._xlws.FILTER(Mapping_Non_Cyber_Workstation_Desktop[Scope],Mapping_Non_Cyber_Workstation_Desktop[NIST Control]=B44)&amp;CHAR(10)),""),
IFERROR(_xlfn.CONCAT(_xlfn._xlws.FILTER(Mapping_Non_Cyber_VDI[Scope],Mapping_Non_Cyber_VDI[NIST Control]=B44)&amp;CHAR(10)),""),
IFERROR(_xlfn.CONCAT(_xlfn._xlws.FILTER(Mapping_Non_Cyber_Servers[Scope],Mapping_Non_Cyber_Servers[NIST Control]=B44)&amp;CHAR(10)),"")
)</f>
        <v/>
      </c>
    </row>
    <row r="45" spans="1:19" ht="43.5">
      <c r="A45" s="27" t="s">
        <v>18</v>
      </c>
      <c r="B45" s="134" t="s">
        <v>79</v>
      </c>
      <c r="C45" s="27" t="s">
        <v>739</v>
      </c>
      <c r="D45"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45" s="33">
        <f>Dashboard_Per_Control[[#This Row],[Total yearly CO2e emissions (kgCO2e)]]/(1000*Total)</f>
        <v>0</v>
      </c>
      <c r="F45" s="190">
        <f xml:space="preserve">
SUMIF(Mapping_Devices_Workstation_Laptop[NIST Control],B45,Mapping_Devices_Workstation_Laptop[Total emissions (kgC02e)])
+SUMIF(Mapping_Devices_Workstation_Desktop[NIST Control],B45,Mapping_Devices_Workstation_Desktop[Total emissions (kgC02e)])
+SUMIF(Mapping_Devices_Screens[NIST Control],B45,Mapping_Devices_Screens[Total emissions (kgC02e)])+SUMIF(Mapping_Devices_Smartphone[NIST Control],B45,Mapping_Devices_Smartphone[Total emissions (kgC02e)])</f>
        <v>0</v>
      </c>
      <c r="G45" s="191" t="str" cm="1">
        <f t="array" ref="G45">_xlfn.CONCAT(
IFERROR(_xlfn.CONCAT(_xlfn._xlws.FILTER(Mapping_Devices_Workstation_Laptop[Scope],Mapping_Devices_Workstation_Laptop[NIST Control]=B45)&amp;CHAR(10)),""),
IFERROR(_xlfn.CONCAT(_xlfn._xlws.FILTER(#REF!,#REF!=B45)&amp;CHAR(10)),""),
IFERROR(_xlfn.CONCAT(_xlfn._xlws.FILTER(Mapping_Devices_Screens[Scope],Mapping_Devices_Screens[NIST Control]=B45)&amp;CHAR(10)),""),
IFERROR(_xlfn.CONCAT(_xlfn._xlws.FILTER(Mapping_Devices_Smartphone[Scope],Mapping_Devices_Smartphone[NIST Control]=B45)&amp;CHAR(10)),"")
)</f>
        <v/>
      </c>
      <c r="H45" s="190">
        <f>SUMIF(Mapping_Appliance[NIST Control],B45,Mapping_Appliance[Total emissions (kgC02e)])</f>
        <v>0</v>
      </c>
      <c r="I45" s="191" t="str" cm="1">
        <f t="array" ref="I45">IFERROR(_xlfn.CONCAT(_xlfn._xlws.FILTER(Mapping_Appliance[Scope],Mapping_Appliance[NIST Control]=B45)&amp;CHAR(10)),"")</f>
        <v/>
      </c>
      <c r="J45" s="190">
        <f>SUMIF(Mapping_Servers_Backup[NIST Control],B45,Mapping_Servers_Backup[Total emissions (kgC02e)])</f>
        <v>0</v>
      </c>
      <c r="K45" s="191" t="str" cm="1">
        <f t="array" ref="K45">_xlfn.CONCAT(
IFERROR(_xlfn.CONCAT(_xlfn._xlws.FILTER(Mapping_Non_Cyber_Servers[Scope],Mapping_Non_Cyber_Servers[NIST Control]=B45)&amp;CHAR(10)),""),
IFERROR(_xlfn.CONCAT(_xlfn._xlws.FILTER(Mapping_Servers_Backup[Scope],Mapping_Servers_Backup[NIST Control]=B45)&amp;CHAR(10)),""),
)</f>
        <v/>
      </c>
      <c r="L45" s="190">
        <f>SUMIF(Mapping_Solutions_On_Premise[NIST Control],B45,Mapping_Solutions_On_Premise[Total NIST carbon emission (kgCO2e)])
+SUMIF(Mapping_Solutions_Cloud[NIST Control],B45,Mapping_Solutions_Cloud[Total NIST carbon emission (kgCO2e)])</f>
        <v>0</v>
      </c>
      <c r="M45" s="191" t="str" cm="1">
        <f t="array" ref="M45">_xlfn.CONCAT(
IFERROR(_xlfn.CONCAT(_xlfn._xlws.FILTER(Mapping_Solutions_On_Premise[Application name],#REF!=B45)&amp;CHAR(10)),""),
IFERROR(_xlfn.CONCAT(_xlfn._xlws.FILTER(Mapping_Solutions_Cloud[Application name],#REF!=B45)&amp;CHAR(10)),"")
)</f>
        <v/>
      </c>
      <c r="N45" s="190">
        <f>SUMIF(Mapping_Externals_TM[NIST Control],B45,Mapping_Externals_TM[NIST carbon emission (kgCO2e)])
+SUMIF(Mapping_Externals_Fixed_Price[NIST Control],B45,Mapping_Externals_Fixed_Price[NIST carbon emission (kgCO2e)])</f>
        <v>0</v>
      </c>
      <c r="O45" s="191" t="str" cm="1">
        <f t="array" ref="O45">_xlfn.CONCAT(
IFERROR(_xlfn.CONCAT(_xlfn._xlws.FILTER(Mapping_Externals_TM[Service name],#REF!=B45)&amp;CHAR(10)),""),
IFERROR(_xlfn.CONCAT(_xlfn._xlws.FILTER(Mapping_Externals_Fixed_Price[Service name],#REF!=B45)&amp;CHAR(10)),""))</f>
        <v/>
      </c>
      <c r="P45" s="190">
        <f>SUMIF(Mapping_Travel[NIST Control],B45,Mapping_Travel[Total emissions (kgC02e)])</f>
        <v>0</v>
      </c>
      <c r="Q45" s="192" t="str" cm="1">
        <f t="array" ref="Q45">IFERROR(_xlfn.CONCAT(_xlfn._xlws.FILTER(Mapping_Travel[Type of transportation],Mapping_Travel[NIST Control]=B45)&amp;CHAR(10)),"")</f>
        <v/>
      </c>
      <c r="R45" s="190">
        <f>SUMIF(Mapping_Non_Cyber_Workstation_Laptop[NIST Control],B45,Mapping_Non_Cyber_Workstation_Laptop[Total emissions (kgC02e)])
+SUMIF(Mapping_Non_Cyber_Workstation_Desktop[NIST Control],B45,Mapping_Non_Cyber_Workstation_Desktop[Total emissions (kgC02e)])
+SUMIF(Mapping_Non_Cyber_VDI[NIST Control],B45,Mapping_Non_Cyber_VDI[Total emissions (kgC02e)])
+SUMIF(Mapping_Non_Cyber_Servers[NIST Control],B45,Mapping_Non_Cyber_Servers[Total emissions (kgC02e)])</f>
        <v>0</v>
      </c>
      <c r="S45" s="191" t="str" cm="1">
        <f t="array" ref="S45">_xlfn.CONCAT(
IFERROR(_xlfn.CONCAT(_xlfn._xlws.FILTER(Mapping_Non_Cyber_Workstation_Laptop[Scope],Mapping_Non_Cyber_Workstation_Laptop[NIST Control]=B45)&amp;CHAR(10)),""),
IFERROR(_xlfn.CONCAT(_xlfn._xlws.FILTER(Mapping_Non_Cyber_Workstation_Desktop[Scope],Mapping_Non_Cyber_Workstation_Desktop[NIST Control]=B45)&amp;CHAR(10)),""),
IFERROR(_xlfn.CONCAT(_xlfn._xlws.FILTER(Mapping_Non_Cyber_VDI[Scope],Mapping_Non_Cyber_VDI[NIST Control]=B45)&amp;CHAR(10)),""),
IFERROR(_xlfn.CONCAT(_xlfn._xlws.FILTER(Mapping_Non_Cyber_Servers[Scope],Mapping_Non_Cyber_Servers[NIST Control]=B45)&amp;CHAR(10)),"")
)</f>
        <v/>
      </c>
    </row>
    <row r="46" spans="1:19" ht="29.1">
      <c r="A46" s="27" t="s">
        <v>19</v>
      </c>
      <c r="B46" s="134" t="s">
        <v>81</v>
      </c>
      <c r="C46" s="27" t="s">
        <v>740</v>
      </c>
      <c r="D46"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46" s="33">
        <f>Dashboard_Per_Control[[#This Row],[Total yearly CO2e emissions (kgCO2e)]]/(1000*Total)</f>
        <v>0</v>
      </c>
      <c r="F46" s="190">
        <f xml:space="preserve">
SUMIF(Mapping_Devices_Workstation_Laptop[NIST Control],B46,Mapping_Devices_Workstation_Laptop[Total emissions (kgC02e)])
+SUMIF(Mapping_Devices_Workstation_Desktop[NIST Control],B46,Mapping_Devices_Workstation_Desktop[Total emissions (kgC02e)])
+SUMIF(Mapping_Devices_Screens[NIST Control],B46,Mapping_Devices_Screens[Total emissions (kgC02e)])+SUMIF(Mapping_Devices_Smartphone[NIST Control],B46,Mapping_Devices_Smartphone[Total emissions (kgC02e)])</f>
        <v>0</v>
      </c>
      <c r="G46" s="191" t="str" cm="1">
        <f t="array" ref="G46">_xlfn.CONCAT(
IFERROR(_xlfn.CONCAT(_xlfn._xlws.FILTER(Mapping_Devices_Workstation_Laptop[Scope],Mapping_Devices_Workstation_Laptop[NIST Control]=B46)&amp;CHAR(10)),""),
IFERROR(_xlfn.CONCAT(_xlfn._xlws.FILTER(#REF!,#REF!=B46)&amp;CHAR(10)),""),
IFERROR(_xlfn.CONCAT(_xlfn._xlws.FILTER(Mapping_Devices_Screens[Scope],Mapping_Devices_Screens[NIST Control]=B46)&amp;CHAR(10)),""),
IFERROR(_xlfn.CONCAT(_xlfn._xlws.FILTER(Mapping_Devices_Smartphone[Scope],Mapping_Devices_Smartphone[NIST Control]=B46)&amp;CHAR(10)),"")
)</f>
        <v/>
      </c>
      <c r="H46" s="190">
        <f>SUMIF(Mapping_Appliance[NIST Control],B46,Mapping_Appliance[Total emissions (kgC02e)])</f>
        <v>0</v>
      </c>
      <c r="I46" s="191" t="str" cm="1">
        <f t="array" ref="I46">IFERROR(_xlfn.CONCAT(_xlfn._xlws.FILTER(Mapping_Appliance[Scope],Mapping_Appliance[NIST Control]=B46)&amp;CHAR(10)),"")</f>
        <v/>
      </c>
      <c r="J46" s="190">
        <f>SUMIF(Mapping_Servers_Backup[NIST Control],B46,Mapping_Servers_Backup[Total emissions (kgC02e)])</f>
        <v>0</v>
      </c>
      <c r="K46" s="191" t="str" cm="1">
        <f t="array" ref="K46">_xlfn.CONCAT(
IFERROR(_xlfn.CONCAT(_xlfn._xlws.FILTER(Mapping_Non_Cyber_Servers[Scope],Mapping_Non_Cyber_Servers[NIST Control]=B46)&amp;CHAR(10)),""),
IFERROR(_xlfn.CONCAT(_xlfn._xlws.FILTER(Mapping_Servers_Backup[Scope],Mapping_Servers_Backup[NIST Control]=B46)&amp;CHAR(10)),""),
)</f>
        <v/>
      </c>
      <c r="L46" s="190">
        <f>SUMIF(Mapping_Solutions_On_Premise[NIST Control],B46,Mapping_Solutions_On_Premise[Total NIST carbon emission (kgCO2e)])
+SUMIF(Mapping_Solutions_Cloud[NIST Control],B46,Mapping_Solutions_Cloud[Total NIST carbon emission (kgCO2e)])</f>
        <v>0</v>
      </c>
      <c r="M46" s="191" t="str" cm="1">
        <f t="array" ref="M46">_xlfn.CONCAT(
IFERROR(_xlfn.CONCAT(_xlfn._xlws.FILTER(Mapping_Solutions_On_Premise[Application name],#REF!=B46)&amp;CHAR(10)),""),
IFERROR(_xlfn.CONCAT(_xlfn._xlws.FILTER(Mapping_Solutions_Cloud[Application name],#REF!=B46)&amp;CHAR(10)),"")
)</f>
        <v/>
      </c>
      <c r="N46" s="190">
        <f>SUMIF(Mapping_Externals_TM[NIST Control],B46,Mapping_Externals_TM[NIST carbon emission (kgCO2e)])
+SUMIF(Mapping_Externals_Fixed_Price[NIST Control],B46,Mapping_Externals_Fixed_Price[NIST carbon emission (kgCO2e)])</f>
        <v>0</v>
      </c>
      <c r="O46" s="191" t="str" cm="1">
        <f t="array" ref="O46">_xlfn.CONCAT(
IFERROR(_xlfn.CONCAT(_xlfn._xlws.FILTER(Mapping_Externals_TM[Service name],#REF!=B46)&amp;CHAR(10)),""),
IFERROR(_xlfn.CONCAT(_xlfn._xlws.FILTER(Mapping_Externals_Fixed_Price[Service name],#REF!=B46)&amp;CHAR(10)),""))</f>
        <v/>
      </c>
      <c r="P46" s="190">
        <f>SUMIF(Mapping_Travel[NIST Control],B46,Mapping_Travel[Total emissions (kgC02e)])</f>
        <v>0</v>
      </c>
      <c r="Q46" s="192" t="str" cm="1">
        <f t="array" ref="Q46">IFERROR(_xlfn.CONCAT(_xlfn._xlws.FILTER(Mapping_Travel[Type of transportation],Mapping_Travel[NIST Control]=B46)&amp;CHAR(10)),"")</f>
        <v/>
      </c>
      <c r="R46" s="190">
        <f>SUMIF(Mapping_Non_Cyber_Workstation_Laptop[NIST Control],B46,Mapping_Non_Cyber_Workstation_Laptop[Total emissions (kgC02e)])
+SUMIF(Mapping_Non_Cyber_Workstation_Desktop[NIST Control],B46,Mapping_Non_Cyber_Workstation_Desktop[Total emissions (kgC02e)])
+SUMIF(Mapping_Non_Cyber_VDI[NIST Control],B46,Mapping_Non_Cyber_VDI[Total emissions (kgC02e)])
+SUMIF(Mapping_Non_Cyber_Servers[NIST Control],B46,Mapping_Non_Cyber_Servers[Total emissions (kgC02e)])</f>
        <v>0</v>
      </c>
      <c r="S46" s="191" t="str" cm="1">
        <f t="array" ref="S46">_xlfn.CONCAT(
IFERROR(_xlfn.CONCAT(_xlfn._xlws.FILTER(Mapping_Non_Cyber_Workstation_Laptop[Scope],Mapping_Non_Cyber_Workstation_Laptop[NIST Control]=B46)&amp;CHAR(10)),""),
IFERROR(_xlfn.CONCAT(_xlfn._xlws.FILTER(Mapping_Non_Cyber_Workstation_Desktop[Scope],Mapping_Non_Cyber_Workstation_Desktop[NIST Control]=B46)&amp;CHAR(10)),""),
IFERROR(_xlfn.CONCAT(_xlfn._xlws.FILTER(Mapping_Non_Cyber_VDI[Scope],Mapping_Non_Cyber_VDI[NIST Control]=B46)&amp;CHAR(10)),""),
IFERROR(_xlfn.CONCAT(_xlfn._xlws.FILTER(Mapping_Non_Cyber_Servers[Scope],Mapping_Non_Cyber_Servers[NIST Control]=B46)&amp;CHAR(10)),"")
)</f>
        <v/>
      </c>
    </row>
    <row r="47" spans="1:19" ht="29.1">
      <c r="A47" s="27" t="s">
        <v>19</v>
      </c>
      <c r="B47" s="134" t="s">
        <v>83</v>
      </c>
      <c r="C47" s="27" t="s">
        <v>741</v>
      </c>
      <c r="D47"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47" s="33">
        <f>Dashboard_Per_Control[[#This Row],[Total yearly CO2e emissions (kgCO2e)]]/(1000*Total)</f>
        <v>0</v>
      </c>
      <c r="F47" s="190">
        <f xml:space="preserve">
SUMIF(Mapping_Devices_Workstation_Laptop[NIST Control],B47,Mapping_Devices_Workstation_Laptop[Total emissions (kgC02e)])
+SUMIF(Mapping_Devices_Workstation_Desktop[NIST Control],B47,Mapping_Devices_Workstation_Desktop[Total emissions (kgC02e)])
+SUMIF(Mapping_Devices_Screens[NIST Control],B47,Mapping_Devices_Screens[Total emissions (kgC02e)])+SUMIF(Mapping_Devices_Smartphone[NIST Control],B47,Mapping_Devices_Smartphone[Total emissions (kgC02e)])</f>
        <v>0</v>
      </c>
      <c r="G47" s="191" t="str" cm="1">
        <f t="array" ref="G47">_xlfn.CONCAT(
IFERROR(_xlfn.CONCAT(_xlfn._xlws.FILTER(Mapping_Devices_Workstation_Laptop[Scope],Mapping_Devices_Workstation_Laptop[NIST Control]=B47)&amp;CHAR(10)),""),
IFERROR(_xlfn.CONCAT(_xlfn._xlws.FILTER(#REF!,#REF!=B47)&amp;CHAR(10)),""),
IFERROR(_xlfn.CONCAT(_xlfn._xlws.FILTER(Mapping_Devices_Screens[Scope],Mapping_Devices_Screens[NIST Control]=B47)&amp;CHAR(10)),""),
IFERROR(_xlfn.CONCAT(_xlfn._xlws.FILTER(Mapping_Devices_Smartphone[Scope],Mapping_Devices_Smartphone[NIST Control]=B47)&amp;CHAR(10)),"")
)</f>
        <v/>
      </c>
      <c r="H47" s="190">
        <f>SUMIF(Mapping_Appliance[NIST Control],B47,Mapping_Appliance[Total emissions (kgC02e)])</f>
        <v>0</v>
      </c>
      <c r="I47" s="191" t="str" cm="1">
        <f t="array" ref="I47">IFERROR(_xlfn.CONCAT(_xlfn._xlws.FILTER(Mapping_Appliance[Scope],Mapping_Appliance[NIST Control]=B47)&amp;CHAR(10)),"")</f>
        <v/>
      </c>
      <c r="J47" s="190">
        <f>SUMIF(Mapping_Servers_Backup[NIST Control],B47,Mapping_Servers_Backup[Total emissions (kgC02e)])</f>
        <v>0</v>
      </c>
      <c r="K47" s="191" t="str" cm="1">
        <f t="array" ref="K47">_xlfn.CONCAT(
IFERROR(_xlfn.CONCAT(_xlfn._xlws.FILTER(Mapping_Non_Cyber_Servers[Scope],Mapping_Non_Cyber_Servers[NIST Control]=B47)&amp;CHAR(10)),""),
IFERROR(_xlfn.CONCAT(_xlfn._xlws.FILTER(Mapping_Servers_Backup[Scope],Mapping_Servers_Backup[NIST Control]=B47)&amp;CHAR(10)),""),
)</f>
        <v/>
      </c>
      <c r="L47" s="190">
        <f>SUMIF(Mapping_Solutions_On_Premise[NIST Control],B47,Mapping_Solutions_On_Premise[Total NIST carbon emission (kgCO2e)])
+SUMIF(Mapping_Solutions_Cloud[NIST Control],B47,Mapping_Solutions_Cloud[Total NIST carbon emission (kgCO2e)])</f>
        <v>0</v>
      </c>
      <c r="M47" s="191" t="str" cm="1">
        <f t="array" ref="M47">_xlfn.CONCAT(
IFERROR(_xlfn.CONCAT(_xlfn._xlws.FILTER(Mapping_Solutions_On_Premise[Application name],#REF!=B47)&amp;CHAR(10)),""),
IFERROR(_xlfn.CONCAT(_xlfn._xlws.FILTER(Mapping_Solutions_Cloud[Application name],#REF!=B47)&amp;CHAR(10)),"")
)</f>
        <v/>
      </c>
      <c r="N47" s="190">
        <f>SUMIF(Mapping_Externals_TM[NIST Control],B47,Mapping_Externals_TM[NIST carbon emission (kgCO2e)])
+SUMIF(Mapping_Externals_Fixed_Price[NIST Control],B47,Mapping_Externals_Fixed_Price[NIST carbon emission (kgCO2e)])</f>
        <v>0</v>
      </c>
      <c r="O47" s="191" t="str" cm="1">
        <f t="array" ref="O47">_xlfn.CONCAT(
IFERROR(_xlfn.CONCAT(_xlfn._xlws.FILTER(Mapping_Externals_TM[Service name],#REF!=B47)&amp;CHAR(10)),""),
IFERROR(_xlfn.CONCAT(_xlfn._xlws.FILTER(Mapping_Externals_Fixed_Price[Service name],#REF!=B47)&amp;CHAR(10)),""))</f>
        <v/>
      </c>
      <c r="P47" s="190">
        <f>SUMIF(Mapping_Travel[NIST Control],B47,Mapping_Travel[Total emissions (kgC02e)])</f>
        <v>0</v>
      </c>
      <c r="Q47" s="192" t="str" cm="1">
        <f t="array" ref="Q47">IFERROR(_xlfn.CONCAT(_xlfn._xlws.FILTER(Mapping_Travel[Type of transportation],Mapping_Travel[NIST Control]=B47)&amp;CHAR(10)),"")</f>
        <v/>
      </c>
      <c r="R47" s="190">
        <f>SUMIF(Mapping_Non_Cyber_Workstation_Laptop[NIST Control],B47,Mapping_Non_Cyber_Workstation_Laptop[Total emissions (kgC02e)])
+SUMIF(Mapping_Non_Cyber_Workstation_Desktop[NIST Control],B47,Mapping_Non_Cyber_Workstation_Desktop[Total emissions (kgC02e)])
+SUMIF(Mapping_Non_Cyber_VDI[NIST Control],B47,Mapping_Non_Cyber_VDI[Total emissions (kgC02e)])
+SUMIF(Mapping_Non_Cyber_Servers[NIST Control],B47,Mapping_Non_Cyber_Servers[Total emissions (kgC02e)])</f>
        <v>0</v>
      </c>
      <c r="S47" s="191" t="str" cm="1">
        <f t="array" ref="S47">_xlfn.CONCAT(
IFERROR(_xlfn.CONCAT(_xlfn._xlws.FILTER(Mapping_Non_Cyber_Workstation_Laptop[Scope],Mapping_Non_Cyber_Workstation_Laptop[NIST Control]=B47)&amp;CHAR(10)),""),
IFERROR(_xlfn.CONCAT(_xlfn._xlws.FILTER(Mapping_Non_Cyber_Workstation_Desktop[Scope],Mapping_Non_Cyber_Workstation_Desktop[NIST Control]=B47)&amp;CHAR(10)),""),
IFERROR(_xlfn.CONCAT(_xlfn._xlws.FILTER(Mapping_Non_Cyber_VDI[Scope],Mapping_Non_Cyber_VDI[NIST Control]=B47)&amp;CHAR(10)),""),
IFERROR(_xlfn.CONCAT(_xlfn._xlws.FILTER(Mapping_Non_Cyber_Servers[Scope],Mapping_Non_Cyber_Servers[NIST Control]=B47)&amp;CHAR(10)),"")
)</f>
        <v/>
      </c>
    </row>
    <row r="48" spans="1:19" ht="57.95">
      <c r="A48" s="27" t="s">
        <v>19</v>
      </c>
      <c r="B48" s="134" t="s">
        <v>85</v>
      </c>
      <c r="C48" s="27" t="s">
        <v>742</v>
      </c>
      <c r="D48"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1596.0111374999999</v>
      </c>
      <c r="E48" s="33">
        <f>Dashboard_Per_Control[[#This Row],[Total yearly CO2e emissions (kgCO2e)]]/(1000*Total)</f>
        <v>2.9904770416640616E-4</v>
      </c>
      <c r="F48" s="190">
        <f xml:space="preserve">
SUMIF(Mapping_Devices_Workstation_Laptop[NIST Control],B48,Mapping_Devices_Workstation_Laptop[Total emissions (kgC02e)])
+SUMIF(Mapping_Devices_Workstation_Desktop[NIST Control],B48,Mapping_Devices_Workstation_Desktop[Total emissions (kgC02e)])
+SUMIF(Mapping_Devices_Screens[NIST Control],B48,Mapping_Devices_Screens[Total emissions (kgC02e)])+SUMIF(Mapping_Devices_Smartphone[NIST Control],B48,Mapping_Devices_Smartphone[Total emissions (kgC02e)])</f>
        <v>1596.0111374999999</v>
      </c>
      <c r="G48" s="191" t="str" cm="1">
        <f t="array" ref="G48">_xlfn.CONCAT(
IFERROR(_xlfn.CONCAT(_xlfn._xlws.FILTER(Mapping_Devices_Workstation_Laptop[Scope],Mapping_Devices_Workstation_Laptop[NIST Control]=B48)&amp;CHAR(10)),""),
IFERROR(_xlfn.CONCAT(_xlfn._xlws.FILTER(#REF!,#REF!=B48)&amp;CHAR(10)),""),
IFERROR(_xlfn.CONCAT(_xlfn._xlws.FILTER(Mapping_Devices_Screens[Scope],Mapping_Devices_Screens[NIST Control]=B48)&amp;CHAR(10)),""),
IFERROR(_xlfn.CONCAT(_xlfn._xlws.FILTER(Mapping_Devices_Smartphone[Scope],Mapping_Devices_Smartphone[NIST Control]=B48)&amp;CHAR(10)),"")
)</f>
        <v xml:space="preserve">Workstations used by cyber contractors given by your company
</v>
      </c>
      <c r="H48" s="190">
        <f>SUMIF(Mapping_Appliance[NIST Control],B48,Mapping_Appliance[Total emissions (kgC02e)])</f>
        <v>0</v>
      </c>
      <c r="I48" s="191" t="str" cm="1">
        <f t="array" ref="I48">IFERROR(_xlfn.CONCAT(_xlfn._xlws.FILTER(Mapping_Appliance[Scope],Mapping_Appliance[NIST Control]=B48)&amp;CHAR(10)),"")</f>
        <v/>
      </c>
      <c r="J48" s="190">
        <f>SUMIF(Mapping_Servers_Backup[NIST Control],B48,Mapping_Servers_Backup[Total emissions (kgC02e)])</f>
        <v>0</v>
      </c>
      <c r="K48" s="191" t="str" cm="1">
        <f t="array" ref="K48">_xlfn.CONCAT(
IFERROR(_xlfn.CONCAT(_xlfn._xlws.FILTER(Mapping_Non_Cyber_Servers[Scope],Mapping_Non_Cyber_Servers[NIST Control]=B48)&amp;CHAR(10)),""),
IFERROR(_xlfn.CONCAT(_xlfn._xlws.FILTER(Mapping_Servers_Backup[Scope],Mapping_Servers_Backup[NIST Control]=B48)&amp;CHAR(10)),""),
)</f>
        <v/>
      </c>
      <c r="L48" s="190">
        <f>SUMIF(Mapping_Solutions_On_Premise[NIST Control],B48,Mapping_Solutions_On_Premise[Total NIST carbon emission (kgCO2e)])
+SUMIF(Mapping_Solutions_Cloud[NIST Control],B48,Mapping_Solutions_Cloud[Total NIST carbon emission (kgCO2e)])</f>
        <v>0</v>
      </c>
      <c r="M48" s="191" t="str" cm="1">
        <f t="array" ref="M48">_xlfn.CONCAT(
IFERROR(_xlfn.CONCAT(_xlfn._xlws.FILTER(Mapping_Solutions_On_Premise[Application name],#REF!=B48)&amp;CHAR(10)),""),
IFERROR(_xlfn.CONCAT(_xlfn._xlws.FILTER(Mapping_Solutions_Cloud[Application name],#REF!=B48)&amp;CHAR(10)),"")
)</f>
        <v/>
      </c>
      <c r="N48" s="190">
        <f>SUMIF(Mapping_Externals_TM[NIST Control],B48,Mapping_Externals_TM[NIST carbon emission (kgCO2e)])
+SUMIF(Mapping_Externals_Fixed_Price[NIST Control],B48,Mapping_Externals_Fixed_Price[NIST carbon emission (kgCO2e)])</f>
        <v>0</v>
      </c>
      <c r="O48" s="191" t="str" cm="1">
        <f t="array" ref="O48">_xlfn.CONCAT(
IFERROR(_xlfn.CONCAT(_xlfn._xlws.FILTER(Mapping_Externals_TM[Service name],#REF!=B48)&amp;CHAR(10)),""),
IFERROR(_xlfn.CONCAT(_xlfn._xlws.FILTER(Mapping_Externals_Fixed_Price[Service name],#REF!=B48)&amp;CHAR(10)),""))</f>
        <v/>
      </c>
      <c r="P48" s="190">
        <f>SUMIF(Mapping_Travel[NIST Control],B48,Mapping_Travel[Total emissions (kgC02e)])</f>
        <v>0</v>
      </c>
      <c r="Q48" s="192" t="str" cm="1">
        <f t="array" ref="Q48">IFERROR(_xlfn.CONCAT(_xlfn._xlws.FILTER(Mapping_Travel[Type of transportation],Mapping_Travel[NIST Control]=B48)&amp;CHAR(10)),"")</f>
        <v/>
      </c>
      <c r="R48" s="190">
        <f>SUMIF(Mapping_Non_Cyber_Workstation_Laptop[NIST Control],B48,Mapping_Non_Cyber_Workstation_Laptop[Total emissions (kgC02e)])
+SUMIF(Mapping_Non_Cyber_Workstation_Desktop[NIST Control],B48,Mapping_Non_Cyber_Workstation_Desktop[Total emissions (kgC02e)])
+SUMIF(Mapping_Non_Cyber_VDI[NIST Control],B48,Mapping_Non_Cyber_VDI[Total emissions (kgC02e)])
+SUMIF(Mapping_Non_Cyber_Servers[NIST Control],B48,Mapping_Non_Cyber_Servers[Total emissions (kgC02e)])</f>
        <v>0</v>
      </c>
      <c r="S48" s="191" t="str" cm="1">
        <f t="array" ref="S48">_xlfn.CONCAT(
IFERROR(_xlfn.CONCAT(_xlfn._xlws.FILTER(Mapping_Non_Cyber_Workstation_Laptop[Scope],Mapping_Non_Cyber_Workstation_Laptop[NIST Control]=B48)&amp;CHAR(10)),""),
IFERROR(_xlfn.CONCAT(_xlfn._xlws.FILTER(Mapping_Non_Cyber_Workstation_Desktop[Scope],Mapping_Non_Cyber_Workstation_Desktop[NIST Control]=B48)&amp;CHAR(10)),""),
IFERROR(_xlfn.CONCAT(_xlfn._xlws.FILTER(Mapping_Non_Cyber_VDI[Scope],Mapping_Non_Cyber_VDI[NIST Control]=B48)&amp;CHAR(10)),""),
IFERROR(_xlfn.CONCAT(_xlfn._xlws.FILTER(Mapping_Non_Cyber_Servers[Scope],Mapping_Non_Cyber_Servers[NIST Control]=B48)&amp;CHAR(10)),"")
)</f>
        <v/>
      </c>
    </row>
    <row r="49" spans="1:19" ht="57.95">
      <c r="A49" s="27" t="s">
        <v>19</v>
      </c>
      <c r="B49" s="134" t="s">
        <v>87</v>
      </c>
      <c r="C49" s="27" t="s">
        <v>743</v>
      </c>
      <c r="D49"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49" s="33">
        <f>Dashboard_Per_Control[[#This Row],[Total yearly CO2e emissions (kgCO2e)]]/(1000*Total)</f>
        <v>0</v>
      </c>
      <c r="F49" s="190">
        <f xml:space="preserve">
SUMIF(Mapping_Devices_Workstation_Laptop[NIST Control],B49,Mapping_Devices_Workstation_Laptop[Total emissions (kgC02e)])
+SUMIF(Mapping_Devices_Workstation_Desktop[NIST Control],B49,Mapping_Devices_Workstation_Desktop[Total emissions (kgC02e)])
+SUMIF(Mapping_Devices_Screens[NIST Control],B49,Mapping_Devices_Screens[Total emissions (kgC02e)])+SUMIF(Mapping_Devices_Smartphone[NIST Control],B49,Mapping_Devices_Smartphone[Total emissions (kgC02e)])</f>
        <v>0</v>
      </c>
      <c r="G49" s="191" t="str" cm="1">
        <f t="array" ref="G49">_xlfn.CONCAT(
IFERROR(_xlfn.CONCAT(_xlfn._xlws.FILTER(Mapping_Devices_Workstation_Laptop[Scope],Mapping_Devices_Workstation_Laptop[NIST Control]=B49)&amp;CHAR(10)),""),
IFERROR(_xlfn.CONCAT(_xlfn._xlws.FILTER(#REF!,#REF!=B49)&amp;CHAR(10)),""),
IFERROR(_xlfn.CONCAT(_xlfn._xlws.FILTER(Mapping_Devices_Screens[Scope],Mapping_Devices_Screens[NIST Control]=B49)&amp;CHAR(10)),""),
IFERROR(_xlfn.CONCAT(_xlfn._xlws.FILTER(Mapping_Devices_Smartphone[Scope],Mapping_Devices_Smartphone[NIST Control]=B49)&amp;CHAR(10)),"")
)</f>
        <v/>
      </c>
      <c r="H49" s="190">
        <f>SUMIF(Mapping_Appliance[NIST Control],B49,Mapping_Appliance[Total emissions (kgC02e)])</f>
        <v>0</v>
      </c>
      <c r="I49" s="191" t="str" cm="1">
        <f t="array" ref="I49">IFERROR(_xlfn.CONCAT(_xlfn._xlws.FILTER(Mapping_Appliance[Scope],Mapping_Appliance[NIST Control]=B49)&amp;CHAR(10)),"")</f>
        <v/>
      </c>
      <c r="J49" s="190">
        <f>SUMIF(Mapping_Servers_Backup[NIST Control],B49,Mapping_Servers_Backup[Total emissions (kgC02e)])</f>
        <v>0</v>
      </c>
      <c r="K49" s="191" t="str" cm="1">
        <f t="array" ref="K49">_xlfn.CONCAT(
IFERROR(_xlfn.CONCAT(_xlfn._xlws.FILTER(Mapping_Non_Cyber_Servers[Scope],Mapping_Non_Cyber_Servers[NIST Control]=B49)&amp;CHAR(10)),""),
IFERROR(_xlfn.CONCAT(_xlfn._xlws.FILTER(Mapping_Servers_Backup[Scope],Mapping_Servers_Backup[NIST Control]=B49)&amp;CHAR(10)),""),
)</f>
        <v/>
      </c>
      <c r="L49" s="190">
        <f>SUMIF(Mapping_Solutions_On_Premise[NIST Control],B49,Mapping_Solutions_On_Premise[Total NIST carbon emission (kgCO2e)])
+SUMIF(Mapping_Solutions_Cloud[NIST Control],B49,Mapping_Solutions_Cloud[Total NIST carbon emission (kgCO2e)])</f>
        <v>0</v>
      </c>
      <c r="M49" s="191" t="str" cm="1">
        <f t="array" ref="M49">_xlfn.CONCAT(
IFERROR(_xlfn.CONCAT(_xlfn._xlws.FILTER(Mapping_Solutions_On_Premise[Application name],#REF!=B49)&amp;CHAR(10)),""),
IFERROR(_xlfn.CONCAT(_xlfn._xlws.FILTER(Mapping_Solutions_Cloud[Application name],#REF!=B49)&amp;CHAR(10)),"")
)</f>
        <v/>
      </c>
      <c r="N49" s="190">
        <f>SUMIF(Mapping_Externals_TM[NIST Control],B49,Mapping_Externals_TM[NIST carbon emission (kgCO2e)])
+SUMIF(Mapping_Externals_Fixed_Price[NIST Control],B49,Mapping_Externals_Fixed_Price[NIST carbon emission (kgCO2e)])</f>
        <v>0</v>
      </c>
      <c r="O49" s="191" t="str" cm="1">
        <f t="array" ref="O49">_xlfn.CONCAT(
IFERROR(_xlfn.CONCAT(_xlfn._xlws.FILTER(Mapping_Externals_TM[Service name],#REF!=B49)&amp;CHAR(10)),""),
IFERROR(_xlfn.CONCAT(_xlfn._xlws.FILTER(Mapping_Externals_Fixed_Price[Service name],#REF!=B49)&amp;CHAR(10)),""))</f>
        <v/>
      </c>
      <c r="P49" s="190">
        <f>SUMIF(Mapping_Travel[NIST Control],B49,Mapping_Travel[Total emissions (kgC02e)])</f>
        <v>0</v>
      </c>
      <c r="Q49" s="192" t="str" cm="1">
        <f t="array" ref="Q49">IFERROR(_xlfn.CONCAT(_xlfn._xlws.FILTER(Mapping_Travel[Type of transportation],Mapping_Travel[NIST Control]=B49)&amp;CHAR(10)),"")</f>
        <v/>
      </c>
      <c r="R49" s="190">
        <f>SUMIF(Mapping_Non_Cyber_Workstation_Laptop[NIST Control],B49,Mapping_Non_Cyber_Workstation_Laptop[Total emissions (kgC02e)])
+SUMIF(Mapping_Non_Cyber_Workstation_Desktop[NIST Control],B49,Mapping_Non_Cyber_Workstation_Desktop[Total emissions (kgC02e)])
+SUMIF(Mapping_Non_Cyber_VDI[NIST Control],B49,Mapping_Non_Cyber_VDI[Total emissions (kgC02e)])
+SUMIF(Mapping_Non_Cyber_Servers[NIST Control],B49,Mapping_Non_Cyber_Servers[Total emissions (kgC02e)])</f>
        <v>0</v>
      </c>
      <c r="S49" s="191" t="str" cm="1">
        <f t="array" ref="S49">_xlfn.CONCAT(
IFERROR(_xlfn.CONCAT(_xlfn._xlws.FILTER(Mapping_Non_Cyber_Workstation_Laptop[Scope],Mapping_Non_Cyber_Workstation_Laptop[NIST Control]=B49)&amp;CHAR(10)),""),
IFERROR(_xlfn.CONCAT(_xlfn._xlws.FILTER(Mapping_Non_Cyber_Workstation_Desktop[Scope],Mapping_Non_Cyber_Workstation_Desktop[NIST Control]=B49)&amp;CHAR(10)),""),
IFERROR(_xlfn.CONCAT(_xlfn._xlws.FILTER(Mapping_Non_Cyber_VDI[Scope],Mapping_Non_Cyber_VDI[NIST Control]=B49)&amp;CHAR(10)),""),
IFERROR(_xlfn.CONCAT(_xlfn._xlws.FILTER(Mapping_Non_Cyber_Servers[Scope],Mapping_Non_Cyber_Servers[NIST Control]=B49)&amp;CHAR(10)),"")
)</f>
        <v xml:space="preserve">VDIs used by employees (cyber and non cyber)
</v>
      </c>
    </row>
    <row r="50" spans="1:19" ht="43.5">
      <c r="A50" s="27" t="s">
        <v>19</v>
      </c>
      <c r="B50" s="134" t="s">
        <v>89</v>
      </c>
      <c r="C50" s="27" t="s">
        <v>744</v>
      </c>
      <c r="D50"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50" s="33">
        <f>Dashboard_Per_Control[[#This Row],[Total yearly CO2e emissions (kgCO2e)]]/(1000*Total)</f>
        <v>0</v>
      </c>
      <c r="F50" s="190">
        <f xml:space="preserve">
SUMIF(Mapping_Devices_Workstation_Laptop[NIST Control],B50,Mapping_Devices_Workstation_Laptop[Total emissions (kgC02e)])
+SUMIF(Mapping_Devices_Workstation_Desktop[NIST Control],B50,Mapping_Devices_Workstation_Desktop[Total emissions (kgC02e)])
+SUMIF(Mapping_Devices_Screens[NIST Control],B50,Mapping_Devices_Screens[Total emissions (kgC02e)])+SUMIF(Mapping_Devices_Smartphone[NIST Control],B50,Mapping_Devices_Smartphone[Total emissions (kgC02e)])</f>
        <v>0</v>
      </c>
      <c r="G50" s="191" t="str" cm="1">
        <f t="array" ref="G50">_xlfn.CONCAT(
IFERROR(_xlfn.CONCAT(_xlfn._xlws.FILTER(Mapping_Devices_Workstation_Laptop[Scope],Mapping_Devices_Workstation_Laptop[NIST Control]=B50)&amp;CHAR(10)),""),
IFERROR(_xlfn.CONCAT(_xlfn._xlws.FILTER(#REF!,#REF!=B50)&amp;CHAR(10)),""),
IFERROR(_xlfn.CONCAT(_xlfn._xlws.FILTER(Mapping_Devices_Screens[Scope],Mapping_Devices_Screens[NIST Control]=B50)&amp;CHAR(10)),""),
IFERROR(_xlfn.CONCAT(_xlfn._xlws.FILTER(Mapping_Devices_Smartphone[Scope],Mapping_Devices_Smartphone[NIST Control]=B50)&amp;CHAR(10)),"")
)</f>
        <v/>
      </c>
      <c r="H50" s="190">
        <f>SUMIF(Mapping_Appliance[NIST Control],B50,Mapping_Appliance[Total emissions (kgC02e)])</f>
        <v>0</v>
      </c>
      <c r="I50" s="191" t="str" cm="1">
        <f t="array" ref="I50">IFERROR(_xlfn.CONCAT(_xlfn._xlws.FILTER(Mapping_Appliance[Scope],Mapping_Appliance[NIST Control]=B50)&amp;CHAR(10)),"")</f>
        <v/>
      </c>
      <c r="J50" s="190">
        <f>SUMIF(Mapping_Servers_Backup[NIST Control],B50,Mapping_Servers_Backup[Total emissions (kgC02e)])</f>
        <v>0</v>
      </c>
      <c r="K50" s="191" t="str" cm="1">
        <f t="array" ref="K50">_xlfn.CONCAT(
IFERROR(_xlfn.CONCAT(_xlfn._xlws.FILTER(Mapping_Non_Cyber_Servers[Scope],Mapping_Non_Cyber_Servers[NIST Control]=B50)&amp;CHAR(10)),""),
IFERROR(_xlfn.CONCAT(_xlfn._xlws.FILTER(Mapping_Servers_Backup[Scope],Mapping_Servers_Backup[NIST Control]=B50)&amp;CHAR(10)),""),
)</f>
        <v/>
      </c>
      <c r="L50" s="190">
        <f>SUMIF(Mapping_Solutions_On_Premise[NIST Control],B50,Mapping_Solutions_On_Premise[Total NIST carbon emission (kgCO2e)])
+SUMIF(Mapping_Solutions_Cloud[NIST Control],B50,Mapping_Solutions_Cloud[Total NIST carbon emission (kgCO2e)])</f>
        <v>0</v>
      </c>
      <c r="M50" s="191" t="str" cm="1">
        <f t="array" ref="M50">_xlfn.CONCAT(
IFERROR(_xlfn.CONCAT(_xlfn._xlws.FILTER(Mapping_Solutions_On_Premise[Application name],#REF!=B50)&amp;CHAR(10)),""),
IFERROR(_xlfn.CONCAT(_xlfn._xlws.FILTER(Mapping_Solutions_Cloud[Application name],#REF!=B50)&amp;CHAR(10)),"")
)</f>
        <v/>
      </c>
      <c r="N50" s="190">
        <f>SUMIF(Mapping_Externals_TM[NIST Control],B50,Mapping_Externals_TM[NIST carbon emission (kgCO2e)])
+SUMIF(Mapping_Externals_Fixed_Price[NIST Control],B50,Mapping_Externals_Fixed_Price[NIST carbon emission (kgCO2e)])</f>
        <v>0</v>
      </c>
      <c r="O50" s="191" t="str" cm="1">
        <f t="array" ref="O50">_xlfn.CONCAT(
IFERROR(_xlfn.CONCAT(_xlfn._xlws.FILTER(Mapping_Externals_TM[Service name],#REF!=B50)&amp;CHAR(10)),""),
IFERROR(_xlfn.CONCAT(_xlfn._xlws.FILTER(Mapping_Externals_Fixed_Price[Service name],#REF!=B50)&amp;CHAR(10)),""))</f>
        <v/>
      </c>
      <c r="P50" s="190">
        <f>SUMIF(Mapping_Travel[NIST Control],B50,Mapping_Travel[Total emissions (kgC02e)])</f>
        <v>0</v>
      </c>
      <c r="Q50" s="192" t="str" cm="1">
        <f t="array" ref="Q50">IFERROR(_xlfn.CONCAT(_xlfn._xlws.FILTER(Mapping_Travel[Type of transportation],Mapping_Travel[NIST Control]=B50)&amp;CHAR(10)),"")</f>
        <v/>
      </c>
      <c r="R50" s="190">
        <f>SUMIF(Mapping_Non_Cyber_Workstation_Laptop[NIST Control],B50,Mapping_Non_Cyber_Workstation_Laptop[Total emissions (kgC02e)])
+SUMIF(Mapping_Non_Cyber_Workstation_Desktop[NIST Control],B50,Mapping_Non_Cyber_Workstation_Desktop[Total emissions (kgC02e)])
+SUMIF(Mapping_Non_Cyber_VDI[NIST Control],B50,Mapping_Non_Cyber_VDI[Total emissions (kgC02e)])
+SUMIF(Mapping_Non_Cyber_Servers[NIST Control],B50,Mapping_Non_Cyber_Servers[Total emissions (kgC02e)])</f>
        <v>0</v>
      </c>
      <c r="S50" s="191" t="str" cm="1">
        <f t="array" ref="S50">_xlfn.CONCAT(
IFERROR(_xlfn.CONCAT(_xlfn._xlws.FILTER(Mapping_Non_Cyber_Workstation_Laptop[Scope],Mapping_Non_Cyber_Workstation_Laptop[NIST Control]=B50)&amp;CHAR(10)),""),
IFERROR(_xlfn.CONCAT(_xlfn._xlws.FILTER(Mapping_Non_Cyber_Workstation_Desktop[Scope],Mapping_Non_Cyber_Workstation_Desktop[NIST Control]=B50)&amp;CHAR(10)),""),
IFERROR(_xlfn.CONCAT(_xlfn._xlws.FILTER(Mapping_Non_Cyber_VDI[Scope],Mapping_Non_Cyber_VDI[NIST Control]=B50)&amp;CHAR(10)),""),
IFERROR(_xlfn.CONCAT(_xlfn._xlws.FILTER(Mapping_Non_Cyber_Servers[Scope],Mapping_Non_Cyber_Servers[NIST Control]=B50)&amp;CHAR(10)),"")
)</f>
        <v/>
      </c>
    </row>
    <row r="51" spans="1:19" ht="43.5">
      <c r="A51" s="27" t="s">
        <v>19</v>
      </c>
      <c r="B51" s="134" t="s">
        <v>91</v>
      </c>
      <c r="C51" s="27" t="s">
        <v>745</v>
      </c>
      <c r="D51"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51" s="33">
        <f>Dashboard_Per_Control[[#This Row],[Total yearly CO2e emissions (kgCO2e)]]/(1000*Total)</f>
        <v>0</v>
      </c>
      <c r="F51" s="190">
        <f xml:space="preserve">
SUMIF(Mapping_Devices_Workstation_Laptop[NIST Control],B51,Mapping_Devices_Workstation_Laptop[Total emissions (kgC02e)])
+SUMIF(Mapping_Devices_Workstation_Desktop[NIST Control],B51,Mapping_Devices_Workstation_Desktop[Total emissions (kgC02e)])
+SUMIF(Mapping_Devices_Screens[NIST Control],B51,Mapping_Devices_Screens[Total emissions (kgC02e)])+SUMIF(Mapping_Devices_Smartphone[NIST Control],B51,Mapping_Devices_Smartphone[Total emissions (kgC02e)])</f>
        <v>0</v>
      </c>
      <c r="G51" s="191" t="str" cm="1">
        <f t="array" ref="G51">_xlfn.CONCAT(
IFERROR(_xlfn.CONCAT(_xlfn._xlws.FILTER(Mapping_Devices_Workstation_Laptop[Scope],Mapping_Devices_Workstation_Laptop[NIST Control]=B51)&amp;CHAR(10)),""),
IFERROR(_xlfn.CONCAT(_xlfn._xlws.FILTER(#REF!,#REF!=B51)&amp;CHAR(10)),""),
IFERROR(_xlfn.CONCAT(_xlfn._xlws.FILTER(Mapping_Devices_Screens[Scope],Mapping_Devices_Screens[NIST Control]=B51)&amp;CHAR(10)),""),
IFERROR(_xlfn.CONCAT(_xlfn._xlws.FILTER(Mapping_Devices_Smartphone[Scope],Mapping_Devices_Smartphone[NIST Control]=B51)&amp;CHAR(10)),"")
)</f>
        <v/>
      </c>
      <c r="H51" s="190">
        <f>SUMIF(Mapping_Appliance[NIST Control],B51,Mapping_Appliance[Total emissions (kgC02e)])</f>
        <v>0</v>
      </c>
      <c r="I51" s="191" t="str" cm="1">
        <f t="array" ref="I51">IFERROR(_xlfn.CONCAT(_xlfn._xlws.FILTER(Mapping_Appliance[Scope],Mapping_Appliance[NIST Control]=B51)&amp;CHAR(10)),"")</f>
        <v/>
      </c>
      <c r="J51" s="190">
        <f>SUMIF(Mapping_Servers_Backup[NIST Control],B51,Mapping_Servers_Backup[Total emissions (kgC02e)])</f>
        <v>0</v>
      </c>
      <c r="K51" s="191" t="str" cm="1">
        <f t="array" ref="K51">_xlfn.CONCAT(
IFERROR(_xlfn.CONCAT(_xlfn._xlws.FILTER(Mapping_Non_Cyber_Servers[Scope],Mapping_Non_Cyber_Servers[NIST Control]=B51)&amp;CHAR(10)),""),
IFERROR(_xlfn.CONCAT(_xlfn._xlws.FILTER(Mapping_Servers_Backup[Scope],Mapping_Servers_Backup[NIST Control]=B51)&amp;CHAR(10)),""),
)</f>
        <v/>
      </c>
      <c r="L51" s="190">
        <f>SUMIF(Mapping_Solutions_On_Premise[NIST Control],B51,Mapping_Solutions_On_Premise[Total NIST carbon emission (kgCO2e)])
+SUMIF(Mapping_Solutions_Cloud[NIST Control],B51,Mapping_Solutions_Cloud[Total NIST carbon emission (kgCO2e)])</f>
        <v>0</v>
      </c>
      <c r="M51" s="191" t="str" cm="1">
        <f t="array" ref="M51">_xlfn.CONCAT(
IFERROR(_xlfn.CONCAT(_xlfn._xlws.FILTER(Mapping_Solutions_On_Premise[Application name],#REF!=B51)&amp;CHAR(10)),""),
IFERROR(_xlfn.CONCAT(_xlfn._xlws.FILTER(Mapping_Solutions_Cloud[Application name],#REF!=B51)&amp;CHAR(10)),"")
)</f>
        <v/>
      </c>
      <c r="N51" s="190">
        <f>SUMIF(Mapping_Externals_TM[NIST Control],B51,Mapping_Externals_TM[NIST carbon emission (kgCO2e)])
+SUMIF(Mapping_Externals_Fixed_Price[NIST Control],B51,Mapping_Externals_Fixed_Price[NIST carbon emission (kgCO2e)])</f>
        <v>0</v>
      </c>
      <c r="O51" s="191" t="str" cm="1">
        <f t="array" ref="O51">_xlfn.CONCAT(
IFERROR(_xlfn.CONCAT(_xlfn._xlws.FILTER(Mapping_Externals_TM[Service name],#REF!=B51)&amp;CHAR(10)),""),
IFERROR(_xlfn.CONCAT(_xlfn._xlws.FILTER(Mapping_Externals_Fixed_Price[Service name],#REF!=B51)&amp;CHAR(10)),""))</f>
        <v/>
      </c>
      <c r="P51" s="190">
        <f>SUMIF(Mapping_Travel[NIST Control],B51,Mapping_Travel[Total emissions (kgC02e)])</f>
        <v>0</v>
      </c>
      <c r="Q51" s="192" t="str" cm="1">
        <f t="array" ref="Q51">IFERROR(_xlfn.CONCAT(_xlfn._xlws.FILTER(Mapping_Travel[Type of transportation],Mapping_Travel[NIST Control]=B51)&amp;CHAR(10)),"")</f>
        <v/>
      </c>
      <c r="R51" s="190">
        <f>SUMIF(Mapping_Non_Cyber_Workstation_Laptop[NIST Control],B51,Mapping_Non_Cyber_Workstation_Laptop[Total emissions (kgC02e)])
+SUMIF(Mapping_Non_Cyber_Workstation_Desktop[NIST Control],B51,Mapping_Non_Cyber_Workstation_Desktop[Total emissions (kgC02e)])
+SUMIF(Mapping_Non_Cyber_VDI[NIST Control],B51,Mapping_Non_Cyber_VDI[Total emissions (kgC02e)])
+SUMIF(Mapping_Non_Cyber_Servers[NIST Control],B51,Mapping_Non_Cyber_Servers[Total emissions (kgC02e)])</f>
        <v>0</v>
      </c>
      <c r="S51" s="191" t="str" cm="1">
        <f t="array" ref="S51">_xlfn.CONCAT(
IFERROR(_xlfn.CONCAT(_xlfn._xlws.FILTER(Mapping_Non_Cyber_Workstation_Laptop[Scope],Mapping_Non_Cyber_Workstation_Laptop[NIST Control]=B51)&amp;CHAR(10)),""),
IFERROR(_xlfn.CONCAT(_xlfn._xlws.FILTER(Mapping_Non_Cyber_Workstation_Desktop[Scope],Mapping_Non_Cyber_Workstation_Desktop[NIST Control]=B51)&amp;CHAR(10)),""),
IFERROR(_xlfn.CONCAT(_xlfn._xlws.FILTER(Mapping_Non_Cyber_VDI[Scope],Mapping_Non_Cyber_VDI[NIST Control]=B51)&amp;CHAR(10)),""),
IFERROR(_xlfn.CONCAT(_xlfn._xlws.FILTER(Mapping_Non_Cyber_Servers[Scope],Mapping_Non_Cyber_Servers[NIST Control]=B51)&amp;CHAR(10)),"")
)</f>
        <v/>
      </c>
    </row>
    <row r="52" spans="1:19" ht="57.95">
      <c r="A52" s="27" t="s">
        <v>19</v>
      </c>
      <c r="B52" s="134" t="s">
        <v>93</v>
      </c>
      <c r="C52" s="27" t="s">
        <v>746</v>
      </c>
      <c r="D52"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52" s="33">
        <f>Dashboard_Per_Control[[#This Row],[Total yearly CO2e emissions (kgCO2e)]]/(1000*Total)</f>
        <v>0</v>
      </c>
      <c r="F52" s="190">
        <f xml:space="preserve">
SUMIF(Mapping_Devices_Workstation_Laptop[NIST Control],B52,Mapping_Devices_Workstation_Laptop[Total emissions (kgC02e)])
+SUMIF(Mapping_Devices_Workstation_Desktop[NIST Control],B52,Mapping_Devices_Workstation_Desktop[Total emissions (kgC02e)])
+SUMIF(Mapping_Devices_Screens[NIST Control],B52,Mapping_Devices_Screens[Total emissions (kgC02e)])+SUMIF(Mapping_Devices_Smartphone[NIST Control],B52,Mapping_Devices_Smartphone[Total emissions (kgC02e)])</f>
        <v>0</v>
      </c>
      <c r="G52" s="191" t="str" cm="1">
        <f t="array" ref="G52">_xlfn.CONCAT(
IFERROR(_xlfn.CONCAT(_xlfn._xlws.FILTER(Mapping_Devices_Workstation_Laptop[Scope],Mapping_Devices_Workstation_Laptop[NIST Control]=B52)&amp;CHAR(10)),""),
IFERROR(_xlfn.CONCAT(_xlfn._xlws.FILTER(#REF!,#REF!=B52)&amp;CHAR(10)),""),
IFERROR(_xlfn.CONCAT(_xlfn._xlws.FILTER(Mapping_Devices_Screens[Scope],Mapping_Devices_Screens[NIST Control]=B52)&amp;CHAR(10)),""),
IFERROR(_xlfn.CONCAT(_xlfn._xlws.FILTER(Mapping_Devices_Smartphone[Scope],Mapping_Devices_Smartphone[NIST Control]=B52)&amp;CHAR(10)),"")
)</f>
        <v/>
      </c>
      <c r="H52" s="190">
        <f>SUMIF(Mapping_Appliance[NIST Control],B52,Mapping_Appliance[Total emissions (kgC02e)])</f>
        <v>0</v>
      </c>
      <c r="I52" s="191" t="str" cm="1">
        <f t="array" ref="I52">IFERROR(_xlfn.CONCAT(_xlfn._xlws.FILTER(Mapping_Appliance[Scope],Mapping_Appliance[NIST Control]=B52)&amp;CHAR(10)),"")</f>
        <v/>
      </c>
      <c r="J52" s="190">
        <f>SUMIF(Mapping_Servers_Backup[NIST Control],B52,Mapping_Servers_Backup[Total emissions (kgC02e)])</f>
        <v>0</v>
      </c>
      <c r="K52" s="191" t="str" cm="1">
        <f t="array" ref="K52">_xlfn.CONCAT(
IFERROR(_xlfn.CONCAT(_xlfn._xlws.FILTER(Mapping_Non_Cyber_Servers[Scope],Mapping_Non_Cyber_Servers[NIST Control]=B52)&amp;CHAR(10)),""),
IFERROR(_xlfn.CONCAT(_xlfn._xlws.FILTER(Mapping_Servers_Backup[Scope],Mapping_Servers_Backup[NIST Control]=B52)&amp;CHAR(10)),""),
)</f>
        <v/>
      </c>
      <c r="L52" s="190">
        <f>SUMIF(Mapping_Solutions_On_Premise[NIST Control],B52,Mapping_Solutions_On_Premise[Total NIST carbon emission (kgCO2e)])
+SUMIF(Mapping_Solutions_Cloud[NIST Control],B52,Mapping_Solutions_Cloud[Total NIST carbon emission (kgCO2e)])</f>
        <v>0</v>
      </c>
      <c r="M52" s="191" t="str" cm="1">
        <f t="array" ref="M52">_xlfn.CONCAT(
IFERROR(_xlfn.CONCAT(_xlfn._xlws.FILTER(Mapping_Solutions_On_Premise[Application name],#REF!=B52)&amp;CHAR(10)),""),
IFERROR(_xlfn.CONCAT(_xlfn._xlws.FILTER(Mapping_Solutions_Cloud[Application name],#REF!=B52)&amp;CHAR(10)),"")
)</f>
        <v/>
      </c>
      <c r="N52" s="190">
        <f>SUMIF(Mapping_Externals_TM[NIST Control],B52,Mapping_Externals_TM[NIST carbon emission (kgCO2e)])
+SUMIF(Mapping_Externals_Fixed_Price[NIST Control],B52,Mapping_Externals_Fixed_Price[NIST carbon emission (kgCO2e)])</f>
        <v>0</v>
      </c>
      <c r="O52" s="191" t="str" cm="1">
        <f t="array" ref="O52">_xlfn.CONCAT(
IFERROR(_xlfn.CONCAT(_xlfn._xlws.FILTER(Mapping_Externals_TM[Service name],#REF!=B52)&amp;CHAR(10)),""),
IFERROR(_xlfn.CONCAT(_xlfn._xlws.FILTER(Mapping_Externals_Fixed_Price[Service name],#REF!=B52)&amp;CHAR(10)),""))</f>
        <v/>
      </c>
      <c r="P52" s="190">
        <f>SUMIF(Mapping_Travel[NIST Control],B52,Mapping_Travel[Total emissions (kgC02e)])</f>
        <v>0</v>
      </c>
      <c r="Q52" s="192" t="str" cm="1">
        <f t="array" ref="Q52">IFERROR(_xlfn.CONCAT(_xlfn._xlws.FILTER(Mapping_Travel[Type of transportation],Mapping_Travel[NIST Control]=B52)&amp;CHAR(10)),"")</f>
        <v/>
      </c>
      <c r="R52" s="190">
        <f>SUMIF(Mapping_Non_Cyber_Workstation_Laptop[NIST Control],B52,Mapping_Non_Cyber_Workstation_Laptop[Total emissions (kgC02e)])
+SUMIF(Mapping_Non_Cyber_Workstation_Desktop[NIST Control],B52,Mapping_Non_Cyber_Workstation_Desktop[Total emissions (kgC02e)])
+SUMIF(Mapping_Non_Cyber_VDI[NIST Control],B52,Mapping_Non_Cyber_VDI[Total emissions (kgC02e)])
+SUMIF(Mapping_Non_Cyber_Servers[NIST Control],B52,Mapping_Non_Cyber_Servers[Total emissions (kgC02e)])</f>
        <v>0</v>
      </c>
      <c r="S52" s="191" t="str" cm="1">
        <f t="array" ref="S52">_xlfn.CONCAT(
IFERROR(_xlfn.CONCAT(_xlfn._xlws.FILTER(Mapping_Non_Cyber_Workstation_Laptop[Scope],Mapping_Non_Cyber_Workstation_Laptop[NIST Control]=B52)&amp;CHAR(10)),""),
IFERROR(_xlfn.CONCAT(_xlfn._xlws.FILTER(Mapping_Non_Cyber_Workstation_Desktop[Scope],Mapping_Non_Cyber_Workstation_Desktop[NIST Control]=B52)&amp;CHAR(10)),""),
IFERROR(_xlfn.CONCAT(_xlfn._xlws.FILTER(Mapping_Non_Cyber_VDI[Scope],Mapping_Non_Cyber_VDI[NIST Control]=B52)&amp;CHAR(10)),""),
IFERROR(_xlfn.CONCAT(_xlfn._xlws.FILTER(Mapping_Non_Cyber_Servers[Scope],Mapping_Non_Cyber_Servers[NIST Control]=B52)&amp;CHAR(10)),"")
)</f>
        <v/>
      </c>
    </row>
    <row r="53" spans="1:19" ht="144.94999999999999">
      <c r="A53" s="27" t="s">
        <v>19</v>
      </c>
      <c r="B53" s="134" t="s">
        <v>95</v>
      </c>
      <c r="C53" s="27" t="s">
        <v>747</v>
      </c>
      <c r="D53"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610.33191900000008</v>
      </c>
      <c r="E53" s="33">
        <f>Dashboard_Per_Control[[#This Row],[Total yearly CO2e emissions (kgCO2e)]]/(1000*Total)</f>
        <v>1.1435907611667716E-4</v>
      </c>
      <c r="F53" s="190">
        <f xml:space="preserve">
SUMIF(Mapping_Devices_Workstation_Laptop[NIST Control],B53,Mapping_Devices_Workstation_Laptop[Total emissions (kgC02e)])
+SUMIF(Mapping_Devices_Workstation_Desktop[NIST Control],B53,Mapping_Devices_Workstation_Desktop[Total emissions (kgC02e)])
+SUMIF(Mapping_Devices_Screens[NIST Control],B53,Mapping_Devices_Screens[Total emissions (kgC02e)])+SUMIF(Mapping_Devices_Smartphone[NIST Control],B53,Mapping_Devices_Smartphone[Total emissions (kgC02e)])</f>
        <v>0</v>
      </c>
      <c r="G53" s="191" t="str" cm="1">
        <f t="array" ref="G53">_xlfn.CONCAT(
IFERROR(_xlfn.CONCAT(_xlfn._xlws.FILTER(Mapping_Devices_Workstation_Laptop[Scope],Mapping_Devices_Workstation_Laptop[NIST Control]=B53)&amp;CHAR(10)),""),
IFERROR(_xlfn.CONCAT(_xlfn._xlws.FILTER(#REF!,#REF!=B53)&amp;CHAR(10)),""),
IFERROR(_xlfn.CONCAT(_xlfn._xlws.FILTER(Mapping_Devices_Screens[Scope],Mapping_Devices_Screens[NIST Control]=B53)&amp;CHAR(10)),""),
IFERROR(_xlfn.CONCAT(_xlfn._xlws.FILTER(Mapping_Devices_Smartphone[Scope],Mapping_Devices_Smartphone[NIST Control]=B53)&amp;CHAR(10)),"")
)</f>
        <v/>
      </c>
      <c r="H53" s="190">
        <f>SUMIF(Mapping_Appliance[NIST Control],B53,Mapping_Appliance[Total emissions (kgC02e)])</f>
        <v>0</v>
      </c>
      <c r="I53" s="191" t="str" cm="1">
        <f t="array" ref="I53">IFERROR(_xlfn.CONCAT(_xlfn._xlws.FILTER(Mapping_Appliance[Scope],Mapping_Appliance[NIST Control]=B53)&amp;CHAR(10)),"")</f>
        <v/>
      </c>
      <c r="J53" s="190">
        <f>SUMIF(Mapping_Servers_Backup[NIST Control],B53,Mapping_Servers_Backup[Total emissions (kgC02e)])</f>
        <v>0</v>
      </c>
      <c r="K53" s="191" t="str" cm="1">
        <f t="array" ref="K53">_xlfn.CONCAT(
IFERROR(_xlfn.CONCAT(_xlfn._xlws.FILTER(Mapping_Non_Cyber_Servers[Scope],Mapping_Non_Cyber_Servers[NIST Control]=B53)&amp;CHAR(10)),""),
IFERROR(_xlfn.CONCAT(_xlfn._xlws.FILTER(Mapping_Servers_Backup[Scope],Mapping_Servers_Backup[NIST Control]=B53)&amp;CHAR(10)),""),
)</f>
        <v/>
      </c>
      <c r="L53" s="190">
        <f>SUMIF(Mapping_Solutions_On_Premise[NIST Control],B53,Mapping_Solutions_On_Premise[Total NIST carbon emission (kgCO2e)])
+SUMIF(Mapping_Solutions_Cloud[NIST Control],B53,Mapping_Solutions_Cloud[Total NIST carbon emission (kgCO2e)])</f>
        <v>0</v>
      </c>
      <c r="M53" s="191" t="str" cm="1">
        <f t="array" ref="M53">_xlfn.CONCAT(
IFERROR(_xlfn.CONCAT(_xlfn._xlws.FILTER(Mapping_Solutions_On_Premise[Application name],#REF!=B53)&amp;CHAR(10)),""),
IFERROR(_xlfn.CONCAT(_xlfn._xlws.FILTER(Mapping_Solutions_Cloud[Application name],#REF!=B53)&amp;CHAR(10)),"")
)</f>
        <v/>
      </c>
      <c r="N53" s="190">
        <f>SUMIF(Mapping_Externals_TM[NIST Control],B53,Mapping_Externals_TM[NIST carbon emission (kgCO2e)])
+SUMIF(Mapping_Externals_Fixed_Price[NIST Control],B53,Mapping_Externals_Fixed_Price[NIST carbon emission (kgCO2e)])</f>
        <v>0</v>
      </c>
      <c r="O53" s="191" t="str" cm="1">
        <f t="array" ref="O53">_xlfn.CONCAT(
IFERROR(_xlfn.CONCAT(_xlfn._xlws.FILTER(Mapping_Externals_TM[Service name],#REF!=B53)&amp;CHAR(10)),""),
IFERROR(_xlfn.CONCAT(_xlfn._xlws.FILTER(Mapping_Externals_Fixed_Price[Service name],#REF!=B53)&amp;CHAR(10)),""))</f>
        <v/>
      </c>
      <c r="P53" s="190">
        <f>SUMIF(Mapping_Travel[NIST Control],B53,Mapping_Travel[Total emissions (kgC02e)])</f>
        <v>0</v>
      </c>
      <c r="Q53" s="192" t="str" cm="1">
        <f t="array" ref="Q53">IFERROR(_xlfn.CONCAT(_xlfn._xlws.FILTER(Mapping_Travel[Type of transportation],Mapping_Travel[NIST Control]=B53)&amp;CHAR(10)),"")</f>
        <v/>
      </c>
      <c r="R53" s="190">
        <f>SUMIF(Mapping_Non_Cyber_Workstation_Laptop[NIST Control],B53,Mapping_Non_Cyber_Workstation_Laptop[Total emissions (kgC02e)])
+SUMIF(Mapping_Non_Cyber_Workstation_Desktop[NIST Control],B53,Mapping_Non_Cyber_Workstation_Desktop[Total emissions (kgC02e)])
+SUMIF(Mapping_Non_Cyber_VDI[NIST Control],B53,Mapping_Non_Cyber_VDI[Total emissions (kgC02e)])
+SUMIF(Mapping_Non_Cyber_Servers[NIST Control],B53,Mapping_Non_Cyber_Servers[Total emissions (kgC02e)])</f>
        <v>610.33191900000008</v>
      </c>
      <c r="S53" s="191" t="str" cm="1">
        <f t="array" ref="S53">_xlfn.CONCAT(
IFERROR(_xlfn.CONCAT(_xlfn._xlws.FILTER(Mapping_Non_Cyber_Workstation_Laptop[Scope],Mapping_Non_Cyber_Workstation_Laptop[NIST Control]=B53)&amp;CHAR(10)),""),
IFERROR(_xlfn.CONCAT(_xlfn._xlws.FILTER(Mapping_Non_Cyber_Workstation_Desktop[Scope],Mapping_Non_Cyber_Workstation_Desktop[NIST Control]=B53)&amp;CHAR(10)),""),
IFERROR(_xlfn.CONCAT(_xlfn._xlws.FILTER(Mapping_Non_Cyber_VDI[Scope],Mapping_Non_Cyber_VDI[NIST Control]=B53)&amp;CHAR(10)),""),
IFERROR(_xlfn.CONCAT(_xlfn._xlws.FILTER(Mapping_Non_Cyber_Servers[Scope],Mapping_Non_Cyber_Servers[NIST Control]=B53)&amp;CHAR(10)),"")
)</f>
        <v xml:space="preserve">Workstations used by administrators of the IS (Group scope)
Workstations used by administrators of the IS (Group scope)
VDIs used by administrators of the IS (Group scope)
</v>
      </c>
    </row>
    <row r="54" spans="1:19" ht="57.95">
      <c r="A54" s="27" t="s">
        <v>20</v>
      </c>
      <c r="B54" s="134" t="s">
        <v>97</v>
      </c>
      <c r="C54" s="27" t="s">
        <v>748</v>
      </c>
      <c r="D54"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385246.67001999996</v>
      </c>
      <c r="E54" s="33">
        <f>Dashboard_Per_Control[[#This Row],[Total yearly CO2e emissions (kgCO2e)]]/(1000*Total)</f>
        <v>7.2184416198808665E-2</v>
      </c>
      <c r="F54" s="190">
        <f xml:space="preserve">
SUMIF(Mapping_Devices_Workstation_Laptop[NIST Control],B54,Mapping_Devices_Workstation_Laptop[Total emissions (kgC02e)])
+SUMIF(Mapping_Devices_Workstation_Desktop[NIST Control],B54,Mapping_Devices_Workstation_Desktop[Total emissions (kgC02e)])
+SUMIF(Mapping_Devices_Screens[NIST Control],B54,Mapping_Devices_Screens[Total emissions (kgC02e)])+SUMIF(Mapping_Devices_Smartphone[NIST Control],B54,Mapping_Devices_Smartphone[Total emissions (kgC02e)])</f>
        <v>0</v>
      </c>
      <c r="G54" s="191" t="str" cm="1">
        <f t="array" ref="G54">_xlfn.CONCAT(
IFERROR(_xlfn.CONCAT(_xlfn._xlws.FILTER(Mapping_Devices_Workstation_Laptop[Scope],Mapping_Devices_Workstation_Laptop[NIST Control]=B54)&amp;CHAR(10)),""),
IFERROR(_xlfn.CONCAT(_xlfn._xlws.FILTER(#REF!,#REF!=B54)&amp;CHAR(10)),""),
IFERROR(_xlfn.CONCAT(_xlfn._xlws.FILTER(Mapping_Devices_Screens[Scope],Mapping_Devices_Screens[NIST Control]=B54)&amp;CHAR(10)),""),
IFERROR(_xlfn.CONCAT(_xlfn._xlws.FILTER(Mapping_Devices_Smartphone[Scope],Mapping_Devices_Smartphone[NIST Control]=B54)&amp;CHAR(10)),"")
)</f>
        <v/>
      </c>
      <c r="H54" s="190">
        <f>SUMIF(Mapping_Appliance[NIST Control],B54,Mapping_Appliance[Total emissions (kgC02e)])</f>
        <v>0</v>
      </c>
      <c r="I54" s="191" t="str" cm="1">
        <f t="array" ref="I54">IFERROR(_xlfn.CONCAT(_xlfn._xlws.FILTER(Mapping_Appliance[Scope],Mapping_Appliance[NIST Control]=B54)&amp;CHAR(10)),"")</f>
        <v/>
      </c>
      <c r="J54" s="190">
        <f>SUMIF(Mapping_Servers_Backup[NIST Control],B54,Mapping_Servers_Backup[Total emissions (kgC02e)])</f>
        <v>0</v>
      </c>
      <c r="K54" s="191" t="str" cm="1">
        <f t="array" ref="K54">_xlfn.CONCAT(
IFERROR(_xlfn.CONCAT(_xlfn._xlws.FILTER(Mapping_Non_Cyber_Servers[Scope],Mapping_Non_Cyber_Servers[NIST Control]=B54)&amp;CHAR(10)),""),
IFERROR(_xlfn.CONCAT(_xlfn._xlws.FILTER(Mapping_Servers_Backup[Scope],Mapping_Servers_Backup[NIST Control]=B54)&amp;CHAR(10)),""),
)</f>
        <v/>
      </c>
      <c r="L54" s="190">
        <f>SUMIF(Mapping_Solutions_On_Premise[NIST Control],B54,Mapping_Solutions_On_Premise[Total NIST carbon emission (kgCO2e)])
+SUMIF(Mapping_Solutions_Cloud[NIST Control],B54,Mapping_Solutions_Cloud[Total NIST carbon emission (kgCO2e)])</f>
        <v>0</v>
      </c>
      <c r="M54" s="191" t="str" cm="1">
        <f t="array" ref="M54">_xlfn.CONCAT(
IFERROR(_xlfn.CONCAT(_xlfn._xlws.FILTER(Mapping_Solutions_On_Premise[Application name],#REF!=B54)&amp;CHAR(10)),""),
IFERROR(_xlfn.CONCAT(_xlfn._xlws.FILTER(Mapping_Solutions_Cloud[Application name],#REF!=B54)&amp;CHAR(10)),"")
)</f>
        <v/>
      </c>
      <c r="N54" s="190">
        <f>SUMIF(Mapping_Externals_TM[NIST Control],B54,Mapping_Externals_TM[NIST carbon emission (kgCO2e)])
+SUMIF(Mapping_Externals_Fixed_Price[NIST Control],B54,Mapping_Externals_Fixed_Price[NIST carbon emission (kgCO2e)])</f>
        <v>0</v>
      </c>
      <c r="O54" s="191" t="str" cm="1">
        <f t="array" ref="O54">_xlfn.CONCAT(
IFERROR(_xlfn.CONCAT(_xlfn._xlws.FILTER(Mapping_Externals_TM[Service name],#REF!=B54)&amp;CHAR(10)),""),
IFERROR(_xlfn.CONCAT(_xlfn._xlws.FILTER(Mapping_Externals_Fixed_Price[Service name],#REF!=B54)&amp;CHAR(10)),""))</f>
        <v/>
      </c>
      <c r="P54" s="190">
        <f>SUMIF(Mapping_Travel[NIST Control],B54,Mapping_Travel[Total emissions (kgC02e)])</f>
        <v>385246.67001999996</v>
      </c>
      <c r="Q54" s="192" t="str" cm="1">
        <f t="array" ref="Q54">IFERROR(_xlfn.CONCAT(_xlfn._xlws.FILTER(Mapping_Travel[Type of transportation],Mapping_Travel[NIST Control]=B54)&amp;CHAR(10)),"")</f>
        <v xml:space="preserve">Plane
Car
Train
</v>
      </c>
      <c r="R54" s="190">
        <f>SUMIF(Mapping_Non_Cyber_Workstation_Laptop[NIST Control],B54,Mapping_Non_Cyber_Workstation_Laptop[Total emissions (kgC02e)])
+SUMIF(Mapping_Non_Cyber_Workstation_Desktop[NIST Control],B54,Mapping_Non_Cyber_Workstation_Desktop[Total emissions (kgC02e)])
+SUMIF(Mapping_Non_Cyber_VDI[NIST Control],B54,Mapping_Non_Cyber_VDI[Total emissions (kgC02e)])
+SUMIF(Mapping_Non_Cyber_Servers[NIST Control],B54,Mapping_Non_Cyber_Servers[Total emissions (kgC02e)])</f>
        <v>0</v>
      </c>
      <c r="S54" s="191" t="str" cm="1">
        <f t="array" ref="S54">_xlfn.CONCAT(
IFERROR(_xlfn.CONCAT(_xlfn._xlws.FILTER(Mapping_Non_Cyber_Workstation_Laptop[Scope],Mapping_Non_Cyber_Workstation_Laptop[NIST Control]=B54)&amp;CHAR(10)),""),
IFERROR(_xlfn.CONCAT(_xlfn._xlws.FILTER(Mapping_Non_Cyber_Workstation_Desktop[Scope],Mapping_Non_Cyber_Workstation_Desktop[NIST Control]=B54)&amp;CHAR(10)),""),
IFERROR(_xlfn.CONCAT(_xlfn._xlws.FILTER(Mapping_Non_Cyber_VDI[Scope],Mapping_Non_Cyber_VDI[NIST Control]=B54)&amp;CHAR(10)),""),
IFERROR(_xlfn.CONCAT(_xlfn._xlws.FILTER(Mapping_Non_Cyber_Servers[Scope],Mapping_Non_Cyber_Servers[NIST Control]=B54)&amp;CHAR(10)),"")
)</f>
        <v/>
      </c>
    </row>
    <row r="55" spans="1:19" ht="43.5">
      <c r="A55" s="27" t="s">
        <v>20</v>
      </c>
      <c r="B55" s="134" t="s">
        <v>99</v>
      </c>
      <c r="C55" s="27" t="s">
        <v>749</v>
      </c>
      <c r="D55"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55" s="33">
        <f>Dashboard_Per_Control[[#This Row],[Total yearly CO2e emissions (kgCO2e)]]/(1000*Total)</f>
        <v>0</v>
      </c>
      <c r="F55" s="190">
        <f xml:space="preserve">
SUMIF(Mapping_Devices_Workstation_Laptop[NIST Control],B55,Mapping_Devices_Workstation_Laptop[Total emissions (kgC02e)])
+SUMIF(Mapping_Devices_Workstation_Desktop[NIST Control],B55,Mapping_Devices_Workstation_Desktop[Total emissions (kgC02e)])
+SUMIF(Mapping_Devices_Screens[NIST Control],B55,Mapping_Devices_Screens[Total emissions (kgC02e)])+SUMIF(Mapping_Devices_Smartphone[NIST Control],B55,Mapping_Devices_Smartphone[Total emissions (kgC02e)])</f>
        <v>0</v>
      </c>
      <c r="G55" s="191" t="str" cm="1">
        <f t="array" ref="G55">_xlfn.CONCAT(
IFERROR(_xlfn.CONCAT(_xlfn._xlws.FILTER(Mapping_Devices_Workstation_Laptop[Scope],Mapping_Devices_Workstation_Laptop[NIST Control]=B55)&amp;CHAR(10)),""),
IFERROR(_xlfn.CONCAT(_xlfn._xlws.FILTER(#REF!,#REF!=B55)&amp;CHAR(10)),""),
IFERROR(_xlfn.CONCAT(_xlfn._xlws.FILTER(Mapping_Devices_Screens[Scope],Mapping_Devices_Screens[NIST Control]=B55)&amp;CHAR(10)),""),
IFERROR(_xlfn.CONCAT(_xlfn._xlws.FILTER(Mapping_Devices_Smartphone[Scope],Mapping_Devices_Smartphone[NIST Control]=B55)&amp;CHAR(10)),"")
)</f>
        <v/>
      </c>
      <c r="H55" s="190">
        <f>SUMIF(Mapping_Appliance[NIST Control],B55,Mapping_Appliance[Total emissions (kgC02e)])</f>
        <v>0</v>
      </c>
      <c r="I55" s="191" t="str" cm="1">
        <f t="array" ref="I55">IFERROR(_xlfn.CONCAT(_xlfn._xlws.FILTER(Mapping_Appliance[Scope],Mapping_Appliance[NIST Control]=B55)&amp;CHAR(10)),"")</f>
        <v/>
      </c>
      <c r="J55" s="190">
        <f>SUMIF(Mapping_Servers_Backup[NIST Control],B55,Mapping_Servers_Backup[Total emissions (kgC02e)])</f>
        <v>0</v>
      </c>
      <c r="K55" s="191" t="str" cm="1">
        <f t="array" ref="K55">_xlfn.CONCAT(
IFERROR(_xlfn.CONCAT(_xlfn._xlws.FILTER(Mapping_Non_Cyber_Servers[Scope],Mapping_Non_Cyber_Servers[NIST Control]=B55)&amp;CHAR(10)),""),
IFERROR(_xlfn.CONCAT(_xlfn._xlws.FILTER(Mapping_Servers_Backup[Scope],Mapping_Servers_Backup[NIST Control]=B55)&amp;CHAR(10)),""),
)</f>
        <v/>
      </c>
      <c r="L55" s="190">
        <f>SUMIF(Mapping_Solutions_On_Premise[NIST Control],B55,Mapping_Solutions_On_Premise[Total NIST carbon emission (kgCO2e)])
+SUMIF(Mapping_Solutions_Cloud[NIST Control],B55,Mapping_Solutions_Cloud[Total NIST carbon emission (kgCO2e)])</f>
        <v>0</v>
      </c>
      <c r="M55" s="191" t="str" cm="1">
        <f t="array" ref="M55">_xlfn.CONCAT(
IFERROR(_xlfn.CONCAT(_xlfn._xlws.FILTER(Mapping_Solutions_On_Premise[Application name],#REF!=B55)&amp;CHAR(10)),""),
IFERROR(_xlfn.CONCAT(_xlfn._xlws.FILTER(Mapping_Solutions_Cloud[Application name],#REF!=B55)&amp;CHAR(10)),"")
)</f>
        <v/>
      </c>
      <c r="N55" s="190">
        <f>SUMIF(Mapping_Externals_TM[NIST Control],B55,Mapping_Externals_TM[NIST carbon emission (kgCO2e)])
+SUMIF(Mapping_Externals_Fixed_Price[NIST Control],B55,Mapping_Externals_Fixed_Price[NIST carbon emission (kgCO2e)])</f>
        <v>0</v>
      </c>
      <c r="O55" s="191" t="str" cm="1">
        <f t="array" ref="O55">_xlfn.CONCAT(
IFERROR(_xlfn.CONCAT(_xlfn._xlws.FILTER(Mapping_Externals_TM[Service name],#REF!=B55)&amp;CHAR(10)),""),
IFERROR(_xlfn.CONCAT(_xlfn._xlws.FILTER(Mapping_Externals_Fixed_Price[Service name],#REF!=B55)&amp;CHAR(10)),""))</f>
        <v/>
      </c>
      <c r="P55" s="190">
        <f>SUMIF(Mapping_Travel[NIST Control],B55,Mapping_Travel[Total emissions (kgC02e)])</f>
        <v>0</v>
      </c>
      <c r="Q55" s="192" t="str" cm="1">
        <f t="array" ref="Q55">IFERROR(_xlfn.CONCAT(_xlfn._xlws.FILTER(Mapping_Travel[Type of transportation],Mapping_Travel[NIST Control]=B55)&amp;CHAR(10)),"")</f>
        <v/>
      </c>
      <c r="R55" s="190">
        <f>SUMIF(Mapping_Non_Cyber_Workstation_Laptop[NIST Control],B55,Mapping_Non_Cyber_Workstation_Laptop[Total emissions (kgC02e)])
+SUMIF(Mapping_Non_Cyber_Workstation_Desktop[NIST Control],B55,Mapping_Non_Cyber_Workstation_Desktop[Total emissions (kgC02e)])
+SUMIF(Mapping_Non_Cyber_VDI[NIST Control],B55,Mapping_Non_Cyber_VDI[Total emissions (kgC02e)])
+SUMIF(Mapping_Non_Cyber_Servers[NIST Control],B55,Mapping_Non_Cyber_Servers[Total emissions (kgC02e)])</f>
        <v>0</v>
      </c>
      <c r="S55" s="191" t="str" cm="1">
        <f t="array" ref="S55">_xlfn.CONCAT(
IFERROR(_xlfn.CONCAT(_xlfn._xlws.FILTER(Mapping_Non_Cyber_Workstation_Laptop[Scope],Mapping_Non_Cyber_Workstation_Laptop[NIST Control]=B55)&amp;CHAR(10)),""),
IFERROR(_xlfn.CONCAT(_xlfn._xlws.FILTER(Mapping_Non_Cyber_Workstation_Desktop[Scope],Mapping_Non_Cyber_Workstation_Desktop[NIST Control]=B55)&amp;CHAR(10)),""),
IFERROR(_xlfn.CONCAT(_xlfn._xlws.FILTER(Mapping_Non_Cyber_VDI[Scope],Mapping_Non_Cyber_VDI[NIST Control]=B55)&amp;CHAR(10)),""),
IFERROR(_xlfn.CONCAT(_xlfn._xlws.FILTER(Mapping_Non_Cyber_Servers[Scope],Mapping_Non_Cyber_Servers[NIST Control]=B55)&amp;CHAR(10)),"")
)</f>
        <v/>
      </c>
    </row>
    <row r="56" spans="1:19" ht="130.5">
      <c r="A56" s="27" t="s">
        <v>20</v>
      </c>
      <c r="B56" s="134" t="s">
        <v>101</v>
      </c>
      <c r="C56" s="27" t="s">
        <v>750</v>
      </c>
      <c r="D56"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21934.199041666667</v>
      </c>
      <c r="E56" s="33">
        <f>Dashboard_Per_Control[[#This Row],[Total yearly CO2e emissions (kgCO2e)]]/(1000*Total)</f>
        <v>4.1098534415079562E-3</v>
      </c>
      <c r="F56" s="190">
        <f xml:space="preserve">
SUMIF(Mapping_Devices_Workstation_Laptop[NIST Control],B56,Mapping_Devices_Workstation_Laptop[Total emissions (kgC02e)])
+SUMIF(Mapping_Devices_Workstation_Desktop[NIST Control],B56,Mapping_Devices_Workstation_Desktop[Total emissions (kgC02e)])
+SUMIF(Mapping_Devices_Screens[NIST Control],B56,Mapping_Devices_Screens[Total emissions (kgC02e)])+SUMIF(Mapping_Devices_Smartphone[NIST Control],B56,Mapping_Devices_Smartphone[Total emissions (kgC02e)])</f>
        <v>21934.199041666667</v>
      </c>
      <c r="G56" s="191" t="str" cm="1">
        <f t="array" ref="G56">_xlfn.CONCAT(
IFERROR(_xlfn.CONCAT(_xlfn._xlws.FILTER(Mapping_Devices_Workstation_Laptop[Scope],Mapping_Devices_Workstation_Laptop[NIST Control]=B56)&amp;CHAR(10)),""),
IFERROR(_xlfn.CONCAT(_xlfn._xlws.FILTER(#REF!,#REF!=B56)&amp;CHAR(10)),""),
IFERROR(_xlfn.CONCAT(_xlfn._xlws.FILTER(Mapping_Devices_Screens[Scope],Mapping_Devices_Screens[NIST Control]=B56)&amp;CHAR(10)),""),
IFERROR(_xlfn.CONCAT(_xlfn._xlws.FILTER(Mapping_Devices_Smartphone[Scope],Mapping_Devices_Smartphone[NIST Control]=B56)&amp;CHAR(10)),"")
)</f>
        <v xml:space="preserve">Workstations used by internal cyber employees
Screens used by internal or external cyber employees given by your company
Mobile used by internal or external cyber employees given by your company
</v>
      </c>
      <c r="H56" s="190">
        <f>SUMIF(Mapping_Appliance[NIST Control],B56,Mapping_Appliance[Total emissions (kgC02e)])</f>
        <v>0</v>
      </c>
      <c r="I56" s="191" t="str" cm="1">
        <f t="array" ref="I56">IFERROR(_xlfn.CONCAT(_xlfn._xlws.FILTER(Mapping_Appliance[Scope],Mapping_Appliance[NIST Control]=B56)&amp;CHAR(10)),"")</f>
        <v/>
      </c>
      <c r="J56" s="190">
        <f>SUMIF(Mapping_Servers_Backup[NIST Control],B56,Mapping_Servers_Backup[Total emissions (kgC02e)])</f>
        <v>0</v>
      </c>
      <c r="K56" s="191" t="str" cm="1">
        <f t="array" ref="K56">_xlfn.CONCAT(
IFERROR(_xlfn.CONCAT(_xlfn._xlws.FILTER(Mapping_Non_Cyber_Servers[Scope],Mapping_Non_Cyber_Servers[NIST Control]=B56)&amp;CHAR(10)),""),
IFERROR(_xlfn.CONCAT(_xlfn._xlws.FILTER(Mapping_Servers_Backup[Scope],Mapping_Servers_Backup[NIST Control]=B56)&amp;CHAR(10)),""),
)</f>
        <v/>
      </c>
      <c r="L56" s="190">
        <f>SUMIF(Mapping_Solutions_On_Premise[NIST Control],B56,Mapping_Solutions_On_Premise[Total NIST carbon emission (kgCO2e)])
+SUMIF(Mapping_Solutions_Cloud[NIST Control],B56,Mapping_Solutions_Cloud[Total NIST carbon emission (kgCO2e)])</f>
        <v>0</v>
      </c>
      <c r="M56" s="191" t="str" cm="1">
        <f t="array" ref="M56">_xlfn.CONCAT(
IFERROR(_xlfn.CONCAT(_xlfn._xlws.FILTER(Mapping_Solutions_On_Premise[Application name],#REF!=B56)&amp;CHAR(10)),""),
IFERROR(_xlfn.CONCAT(_xlfn._xlws.FILTER(Mapping_Solutions_Cloud[Application name],#REF!=B56)&amp;CHAR(10)),"")
)</f>
        <v/>
      </c>
      <c r="N56" s="190">
        <f>SUMIF(Mapping_Externals_TM[NIST Control],B56,Mapping_Externals_TM[NIST carbon emission (kgCO2e)])
+SUMIF(Mapping_Externals_Fixed_Price[NIST Control],B56,Mapping_Externals_Fixed_Price[NIST carbon emission (kgCO2e)])</f>
        <v>0</v>
      </c>
      <c r="O56" s="191" t="str" cm="1">
        <f t="array" ref="O56">_xlfn.CONCAT(
IFERROR(_xlfn.CONCAT(_xlfn._xlws.FILTER(Mapping_Externals_TM[Service name],#REF!=B56)&amp;CHAR(10)),""),
IFERROR(_xlfn.CONCAT(_xlfn._xlws.FILTER(Mapping_Externals_Fixed_Price[Service name],#REF!=B56)&amp;CHAR(10)),""))</f>
        <v/>
      </c>
      <c r="P56" s="190">
        <f>SUMIF(Mapping_Travel[NIST Control],B56,Mapping_Travel[Total emissions (kgC02e)])</f>
        <v>0</v>
      </c>
      <c r="Q56" s="192" t="str" cm="1">
        <f t="array" ref="Q56">IFERROR(_xlfn.CONCAT(_xlfn._xlws.FILTER(Mapping_Travel[Type of transportation],Mapping_Travel[NIST Control]=B56)&amp;CHAR(10)),"")</f>
        <v/>
      </c>
      <c r="R56" s="190">
        <f>SUMIF(Mapping_Non_Cyber_Workstation_Laptop[NIST Control],B56,Mapping_Non_Cyber_Workstation_Laptop[Total emissions (kgC02e)])
+SUMIF(Mapping_Non_Cyber_Workstation_Desktop[NIST Control],B56,Mapping_Non_Cyber_Workstation_Desktop[Total emissions (kgC02e)])
+SUMIF(Mapping_Non_Cyber_VDI[NIST Control],B56,Mapping_Non_Cyber_VDI[Total emissions (kgC02e)])
+SUMIF(Mapping_Non_Cyber_Servers[NIST Control],B56,Mapping_Non_Cyber_Servers[Total emissions (kgC02e)])</f>
        <v>0</v>
      </c>
      <c r="S56" s="191" t="str" cm="1">
        <f t="array" ref="S56">_xlfn.CONCAT(
IFERROR(_xlfn.CONCAT(_xlfn._xlws.FILTER(Mapping_Non_Cyber_Workstation_Laptop[Scope],Mapping_Non_Cyber_Workstation_Laptop[NIST Control]=B56)&amp;CHAR(10)),""),
IFERROR(_xlfn.CONCAT(_xlfn._xlws.FILTER(Mapping_Non_Cyber_Workstation_Desktop[Scope],Mapping_Non_Cyber_Workstation_Desktop[NIST Control]=B56)&amp;CHAR(10)),""),
IFERROR(_xlfn.CONCAT(_xlfn._xlws.FILTER(Mapping_Non_Cyber_VDI[Scope],Mapping_Non_Cyber_VDI[NIST Control]=B56)&amp;CHAR(10)),""),
IFERROR(_xlfn.CONCAT(_xlfn._xlws.FILTER(Mapping_Non_Cyber_Servers[Scope],Mapping_Non_Cyber_Servers[NIST Control]=B56)&amp;CHAR(10)),"")
)</f>
        <v/>
      </c>
    </row>
    <row r="57" spans="1:19" ht="43.5">
      <c r="A57" s="27" t="s">
        <v>21</v>
      </c>
      <c r="B57" s="134" t="s">
        <v>103</v>
      </c>
      <c r="C57" s="27" t="s">
        <v>751</v>
      </c>
      <c r="D57"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57" s="33">
        <f>Dashboard_Per_Control[[#This Row],[Total yearly CO2e emissions (kgCO2e)]]/(1000*Total)</f>
        <v>0</v>
      </c>
      <c r="F57" s="190">
        <f xml:space="preserve">
SUMIF(Mapping_Devices_Workstation_Laptop[NIST Control],B57,Mapping_Devices_Workstation_Laptop[Total emissions (kgC02e)])
+SUMIF(Mapping_Devices_Workstation_Desktop[NIST Control],B57,Mapping_Devices_Workstation_Desktop[Total emissions (kgC02e)])
+SUMIF(Mapping_Devices_Screens[NIST Control],B57,Mapping_Devices_Screens[Total emissions (kgC02e)])+SUMIF(Mapping_Devices_Smartphone[NIST Control],B57,Mapping_Devices_Smartphone[Total emissions (kgC02e)])</f>
        <v>0</v>
      </c>
      <c r="G57" s="191" t="str" cm="1">
        <f t="array" ref="G57">_xlfn.CONCAT(
IFERROR(_xlfn.CONCAT(_xlfn._xlws.FILTER(Mapping_Devices_Workstation_Laptop[Scope],Mapping_Devices_Workstation_Laptop[NIST Control]=B57)&amp;CHAR(10)),""),
IFERROR(_xlfn.CONCAT(_xlfn._xlws.FILTER(#REF!,#REF!=B57)&amp;CHAR(10)),""),
IFERROR(_xlfn.CONCAT(_xlfn._xlws.FILTER(Mapping_Devices_Screens[Scope],Mapping_Devices_Screens[NIST Control]=B57)&amp;CHAR(10)),""),
IFERROR(_xlfn.CONCAT(_xlfn._xlws.FILTER(Mapping_Devices_Smartphone[Scope],Mapping_Devices_Smartphone[NIST Control]=B57)&amp;CHAR(10)),"")
)</f>
        <v/>
      </c>
      <c r="H57" s="190">
        <f>SUMIF(Mapping_Appliance[NIST Control],B57,Mapping_Appliance[Total emissions (kgC02e)])</f>
        <v>0</v>
      </c>
      <c r="I57" s="191" t="str" cm="1">
        <f t="array" ref="I57">IFERROR(_xlfn.CONCAT(_xlfn._xlws.FILTER(Mapping_Appliance[Scope],Mapping_Appliance[NIST Control]=B57)&amp;CHAR(10)),"")</f>
        <v/>
      </c>
      <c r="J57" s="190">
        <f>SUMIF(Mapping_Servers_Backup[NIST Control],B57,Mapping_Servers_Backup[Total emissions (kgC02e)])</f>
        <v>0</v>
      </c>
      <c r="K57" s="191" t="str" cm="1">
        <f t="array" ref="K57">_xlfn.CONCAT(
IFERROR(_xlfn.CONCAT(_xlfn._xlws.FILTER(Mapping_Non_Cyber_Servers[Scope],Mapping_Non_Cyber_Servers[NIST Control]=B57)&amp;CHAR(10)),""),
IFERROR(_xlfn.CONCAT(_xlfn._xlws.FILTER(Mapping_Servers_Backup[Scope],Mapping_Servers_Backup[NIST Control]=B57)&amp;CHAR(10)),""),
)</f>
        <v/>
      </c>
      <c r="L57" s="190">
        <f>SUMIF(Mapping_Solutions_On_Premise[NIST Control],B57,Mapping_Solutions_On_Premise[Total NIST carbon emission (kgCO2e)])
+SUMIF(Mapping_Solutions_Cloud[NIST Control],B57,Mapping_Solutions_Cloud[Total NIST carbon emission (kgCO2e)])</f>
        <v>0</v>
      </c>
      <c r="M57" s="191" t="str" cm="1">
        <f t="array" ref="M57">_xlfn.CONCAT(
IFERROR(_xlfn.CONCAT(_xlfn._xlws.FILTER(Mapping_Solutions_On_Premise[Application name],#REF!=B57)&amp;CHAR(10)),""),
IFERROR(_xlfn.CONCAT(_xlfn._xlws.FILTER(Mapping_Solutions_Cloud[Application name],#REF!=B57)&amp;CHAR(10)),"")
)</f>
        <v/>
      </c>
      <c r="N57" s="190">
        <f>SUMIF(Mapping_Externals_TM[NIST Control],B57,Mapping_Externals_TM[NIST carbon emission (kgCO2e)])
+SUMIF(Mapping_Externals_Fixed_Price[NIST Control],B57,Mapping_Externals_Fixed_Price[NIST carbon emission (kgCO2e)])</f>
        <v>0</v>
      </c>
      <c r="O57" s="191" t="str" cm="1">
        <f t="array" ref="O57">_xlfn.CONCAT(
IFERROR(_xlfn.CONCAT(_xlfn._xlws.FILTER(Mapping_Externals_TM[Service name],#REF!=B57)&amp;CHAR(10)),""),
IFERROR(_xlfn.CONCAT(_xlfn._xlws.FILTER(Mapping_Externals_Fixed_Price[Service name],#REF!=B57)&amp;CHAR(10)),""))</f>
        <v/>
      </c>
      <c r="P57" s="190">
        <f>SUMIF(Mapping_Travel[NIST Control],B57,Mapping_Travel[Total emissions (kgC02e)])</f>
        <v>0</v>
      </c>
      <c r="Q57" s="192" t="str" cm="1">
        <f t="array" ref="Q57">IFERROR(_xlfn.CONCAT(_xlfn._xlws.FILTER(Mapping_Travel[Type of transportation],Mapping_Travel[NIST Control]=B57)&amp;CHAR(10)),"")</f>
        <v/>
      </c>
      <c r="R57" s="190">
        <f>SUMIF(Mapping_Non_Cyber_Workstation_Laptop[NIST Control],B57,Mapping_Non_Cyber_Workstation_Laptop[Total emissions (kgC02e)])
+SUMIF(Mapping_Non_Cyber_Workstation_Desktop[NIST Control],B57,Mapping_Non_Cyber_Workstation_Desktop[Total emissions (kgC02e)])
+SUMIF(Mapping_Non_Cyber_VDI[NIST Control],B57,Mapping_Non_Cyber_VDI[Total emissions (kgC02e)])
+SUMIF(Mapping_Non_Cyber_Servers[NIST Control],B57,Mapping_Non_Cyber_Servers[Total emissions (kgC02e)])</f>
        <v>0</v>
      </c>
      <c r="S57" s="191" t="str" cm="1">
        <f t="array" ref="S57">_xlfn.CONCAT(
IFERROR(_xlfn.CONCAT(_xlfn._xlws.FILTER(Mapping_Non_Cyber_Workstation_Laptop[Scope],Mapping_Non_Cyber_Workstation_Laptop[NIST Control]=B57)&amp;CHAR(10)),""),
IFERROR(_xlfn.CONCAT(_xlfn._xlws.FILTER(Mapping_Non_Cyber_Workstation_Desktop[Scope],Mapping_Non_Cyber_Workstation_Desktop[NIST Control]=B57)&amp;CHAR(10)),""),
IFERROR(_xlfn.CONCAT(_xlfn._xlws.FILTER(Mapping_Non_Cyber_VDI[Scope],Mapping_Non_Cyber_VDI[NIST Control]=B57)&amp;CHAR(10)),""),
IFERROR(_xlfn.CONCAT(_xlfn._xlws.FILTER(Mapping_Non_Cyber_Servers[Scope],Mapping_Non_Cyber_Servers[NIST Control]=B57)&amp;CHAR(10)),"")
)</f>
        <v/>
      </c>
    </row>
    <row r="58" spans="1:19" ht="29.1">
      <c r="A58" s="27" t="s">
        <v>21</v>
      </c>
      <c r="B58" s="134" t="s">
        <v>105</v>
      </c>
      <c r="C58" s="27" t="s">
        <v>752</v>
      </c>
      <c r="D58"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58" s="33">
        <f>Dashboard_Per_Control[[#This Row],[Total yearly CO2e emissions (kgCO2e)]]/(1000*Total)</f>
        <v>0</v>
      </c>
      <c r="F58" s="190">
        <f xml:space="preserve">
SUMIF(Mapping_Devices_Workstation_Laptop[NIST Control],B58,Mapping_Devices_Workstation_Laptop[Total emissions (kgC02e)])
+SUMIF(Mapping_Devices_Workstation_Desktop[NIST Control],B58,Mapping_Devices_Workstation_Desktop[Total emissions (kgC02e)])
+SUMIF(Mapping_Devices_Screens[NIST Control],B58,Mapping_Devices_Screens[Total emissions (kgC02e)])+SUMIF(Mapping_Devices_Smartphone[NIST Control],B58,Mapping_Devices_Smartphone[Total emissions (kgC02e)])</f>
        <v>0</v>
      </c>
      <c r="G58" s="191" t="str" cm="1">
        <f t="array" ref="G58">_xlfn.CONCAT(
IFERROR(_xlfn.CONCAT(_xlfn._xlws.FILTER(Mapping_Devices_Workstation_Laptop[Scope],Mapping_Devices_Workstation_Laptop[NIST Control]=B58)&amp;CHAR(10)),""),
IFERROR(_xlfn.CONCAT(_xlfn._xlws.FILTER(#REF!,#REF!=B58)&amp;CHAR(10)),""),
IFERROR(_xlfn.CONCAT(_xlfn._xlws.FILTER(Mapping_Devices_Screens[Scope],Mapping_Devices_Screens[NIST Control]=B58)&amp;CHAR(10)),""),
IFERROR(_xlfn.CONCAT(_xlfn._xlws.FILTER(Mapping_Devices_Smartphone[Scope],Mapping_Devices_Smartphone[NIST Control]=B58)&amp;CHAR(10)),"")
)</f>
        <v/>
      </c>
      <c r="H58" s="190">
        <f>SUMIF(Mapping_Appliance[NIST Control],B58,Mapping_Appliance[Total emissions (kgC02e)])</f>
        <v>0</v>
      </c>
      <c r="I58" s="191" t="str" cm="1">
        <f t="array" ref="I58">IFERROR(_xlfn.CONCAT(_xlfn._xlws.FILTER(Mapping_Appliance[Scope],Mapping_Appliance[NIST Control]=B58)&amp;CHAR(10)),"")</f>
        <v/>
      </c>
      <c r="J58" s="190">
        <f>SUMIF(Mapping_Servers_Backup[NIST Control],B58,Mapping_Servers_Backup[Total emissions (kgC02e)])</f>
        <v>0</v>
      </c>
      <c r="K58" s="191" t="str" cm="1">
        <f t="array" ref="K58">_xlfn.CONCAT(
IFERROR(_xlfn.CONCAT(_xlfn._xlws.FILTER(Mapping_Non_Cyber_Servers[Scope],Mapping_Non_Cyber_Servers[NIST Control]=B58)&amp;CHAR(10)),""),
IFERROR(_xlfn.CONCAT(_xlfn._xlws.FILTER(Mapping_Servers_Backup[Scope],Mapping_Servers_Backup[NIST Control]=B58)&amp;CHAR(10)),""),
)</f>
        <v/>
      </c>
      <c r="L58" s="190">
        <f>SUMIF(Mapping_Solutions_On_Premise[NIST Control],B58,Mapping_Solutions_On_Premise[Total NIST carbon emission (kgCO2e)])
+SUMIF(Mapping_Solutions_Cloud[NIST Control],B58,Mapping_Solutions_Cloud[Total NIST carbon emission (kgCO2e)])</f>
        <v>0</v>
      </c>
      <c r="M58" s="191" t="str" cm="1">
        <f t="array" ref="M58">_xlfn.CONCAT(
IFERROR(_xlfn.CONCAT(_xlfn._xlws.FILTER(Mapping_Solutions_On_Premise[Application name],#REF!=B58)&amp;CHAR(10)),""),
IFERROR(_xlfn.CONCAT(_xlfn._xlws.FILTER(Mapping_Solutions_Cloud[Application name],#REF!=B58)&amp;CHAR(10)),"")
)</f>
        <v/>
      </c>
      <c r="N58" s="190">
        <f>SUMIF(Mapping_Externals_TM[NIST Control],B58,Mapping_Externals_TM[NIST carbon emission (kgCO2e)])
+SUMIF(Mapping_Externals_Fixed_Price[NIST Control],B58,Mapping_Externals_Fixed_Price[NIST carbon emission (kgCO2e)])</f>
        <v>0</v>
      </c>
      <c r="O58" s="191" t="str" cm="1">
        <f t="array" ref="O58">_xlfn.CONCAT(
IFERROR(_xlfn.CONCAT(_xlfn._xlws.FILTER(Mapping_Externals_TM[Service name],#REF!=B58)&amp;CHAR(10)),""),
IFERROR(_xlfn.CONCAT(_xlfn._xlws.FILTER(Mapping_Externals_Fixed_Price[Service name],#REF!=B58)&amp;CHAR(10)),""))</f>
        <v/>
      </c>
      <c r="P58" s="190">
        <f>SUMIF(Mapping_Travel[NIST Control],B58,Mapping_Travel[Total emissions (kgC02e)])</f>
        <v>0</v>
      </c>
      <c r="Q58" s="192" t="str" cm="1">
        <f t="array" ref="Q58">IFERROR(_xlfn.CONCAT(_xlfn._xlws.FILTER(Mapping_Travel[Type of transportation],Mapping_Travel[NIST Control]=B58)&amp;CHAR(10)),"")</f>
        <v/>
      </c>
      <c r="R58" s="190">
        <f>SUMIF(Mapping_Non_Cyber_Workstation_Laptop[NIST Control],B58,Mapping_Non_Cyber_Workstation_Laptop[Total emissions (kgC02e)])
+SUMIF(Mapping_Non_Cyber_Workstation_Desktop[NIST Control],B58,Mapping_Non_Cyber_Workstation_Desktop[Total emissions (kgC02e)])
+SUMIF(Mapping_Non_Cyber_VDI[NIST Control],B58,Mapping_Non_Cyber_VDI[Total emissions (kgC02e)])
+SUMIF(Mapping_Non_Cyber_Servers[NIST Control],B58,Mapping_Non_Cyber_Servers[Total emissions (kgC02e)])</f>
        <v>0</v>
      </c>
      <c r="S58" s="191" t="str" cm="1">
        <f t="array" ref="S58">_xlfn.CONCAT(
IFERROR(_xlfn.CONCAT(_xlfn._xlws.FILTER(Mapping_Non_Cyber_Workstation_Laptop[Scope],Mapping_Non_Cyber_Workstation_Laptop[NIST Control]=B58)&amp;CHAR(10)),""),
IFERROR(_xlfn.CONCAT(_xlfn._xlws.FILTER(Mapping_Non_Cyber_Workstation_Desktop[Scope],Mapping_Non_Cyber_Workstation_Desktop[NIST Control]=B58)&amp;CHAR(10)),""),
IFERROR(_xlfn.CONCAT(_xlfn._xlws.FILTER(Mapping_Non_Cyber_VDI[Scope],Mapping_Non_Cyber_VDI[NIST Control]=B58)&amp;CHAR(10)),""),
IFERROR(_xlfn.CONCAT(_xlfn._xlws.FILTER(Mapping_Non_Cyber_Servers[Scope],Mapping_Non_Cyber_Servers[NIST Control]=B58)&amp;CHAR(10)),"")
)</f>
        <v/>
      </c>
    </row>
    <row r="59" spans="1:19" ht="29.1">
      <c r="A59" s="31" t="s">
        <v>22</v>
      </c>
      <c r="B59" s="134" t="s">
        <v>107</v>
      </c>
      <c r="C59" s="31" t="s">
        <v>753</v>
      </c>
      <c r="D59"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59" s="33">
        <f>Dashboard_Per_Control[[#This Row],[Total yearly CO2e emissions (kgCO2e)]]/(1000*Total)</f>
        <v>0</v>
      </c>
      <c r="F59" s="190">
        <f xml:space="preserve">
SUMIF(Mapping_Devices_Workstation_Laptop[NIST Control],B59,Mapping_Devices_Workstation_Laptop[Total emissions (kgC02e)])
+SUMIF(Mapping_Devices_Workstation_Desktop[NIST Control],B59,Mapping_Devices_Workstation_Desktop[Total emissions (kgC02e)])
+SUMIF(Mapping_Devices_Screens[NIST Control],B59,Mapping_Devices_Screens[Total emissions (kgC02e)])+SUMIF(Mapping_Devices_Smartphone[NIST Control],B59,Mapping_Devices_Smartphone[Total emissions (kgC02e)])</f>
        <v>0</v>
      </c>
      <c r="G59" s="191" t="str" cm="1">
        <f t="array" ref="G59">_xlfn.CONCAT(
IFERROR(_xlfn.CONCAT(_xlfn._xlws.FILTER(Mapping_Devices_Workstation_Laptop[Scope],Mapping_Devices_Workstation_Laptop[NIST Control]=B59)&amp;CHAR(10)),""),
IFERROR(_xlfn.CONCAT(_xlfn._xlws.FILTER(#REF!,#REF!=B59)&amp;CHAR(10)),""),
IFERROR(_xlfn.CONCAT(_xlfn._xlws.FILTER(Mapping_Devices_Screens[Scope],Mapping_Devices_Screens[NIST Control]=B59)&amp;CHAR(10)),""),
IFERROR(_xlfn.CONCAT(_xlfn._xlws.FILTER(Mapping_Devices_Smartphone[Scope],Mapping_Devices_Smartphone[NIST Control]=B59)&amp;CHAR(10)),"")
)</f>
        <v/>
      </c>
      <c r="H59" s="190">
        <f>SUMIF(Mapping_Appliance[NIST Control],B59,Mapping_Appliance[Total emissions (kgC02e)])</f>
        <v>0</v>
      </c>
      <c r="I59" s="191" t="str" cm="1">
        <f t="array" ref="I59">IFERROR(_xlfn.CONCAT(_xlfn._xlws.FILTER(Mapping_Appliance[Scope],Mapping_Appliance[NIST Control]=B59)&amp;CHAR(10)),"")</f>
        <v/>
      </c>
      <c r="J59" s="190">
        <f>SUMIF(Mapping_Servers_Backup[NIST Control],B59,Mapping_Servers_Backup[Total emissions (kgC02e)])</f>
        <v>0</v>
      </c>
      <c r="K59" s="191" t="str" cm="1">
        <f t="array" ref="K59">_xlfn.CONCAT(
IFERROR(_xlfn.CONCAT(_xlfn._xlws.FILTER(Mapping_Non_Cyber_Servers[Scope],Mapping_Non_Cyber_Servers[NIST Control]=B59)&amp;CHAR(10)),""),
IFERROR(_xlfn.CONCAT(_xlfn._xlws.FILTER(Mapping_Servers_Backup[Scope],Mapping_Servers_Backup[NIST Control]=B59)&amp;CHAR(10)),""),
)</f>
        <v/>
      </c>
      <c r="L59" s="190">
        <f>SUMIF(Mapping_Solutions_On_Premise[NIST Control],B59,Mapping_Solutions_On_Premise[Total NIST carbon emission (kgCO2e)])
+SUMIF(Mapping_Solutions_Cloud[NIST Control],B59,Mapping_Solutions_Cloud[Total NIST carbon emission (kgCO2e)])</f>
        <v>0</v>
      </c>
      <c r="M59" s="191" t="str" cm="1">
        <f t="array" ref="M59">_xlfn.CONCAT(
IFERROR(_xlfn.CONCAT(_xlfn._xlws.FILTER(Mapping_Solutions_On_Premise[Application name],#REF!=B59)&amp;CHAR(10)),""),
IFERROR(_xlfn.CONCAT(_xlfn._xlws.FILTER(Mapping_Solutions_Cloud[Application name],#REF!=B59)&amp;CHAR(10)),"")
)</f>
        <v/>
      </c>
      <c r="N59" s="190">
        <f>SUMIF(Mapping_Externals_TM[NIST Control],B59,Mapping_Externals_TM[NIST carbon emission (kgCO2e)])
+SUMIF(Mapping_Externals_Fixed_Price[NIST Control],B59,Mapping_Externals_Fixed_Price[NIST carbon emission (kgCO2e)])</f>
        <v>0</v>
      </c>
      <c r="O59" s="191" t="str" cm="1">
        <f t="array" ref="O59">_xlfn.CONCAT(
IFERROR(_xlfn.CONCAT(_xlfn._xlws.FILTER(Mapping_Externals_TM[Service name],#REF!=B59)&amp;CHAR(10)),""),
IFERROR(_xlfn.CONCAT(_xlfn._xlws.FILTER(Mapping_Externals_Fixed_Price[Service name],#REF!=B59)&amp;CHAR(10)),""))</f>
        <v/>
      </c>
      <c r="P59" s="190">
        <f>SUMIF(Mapping_Travel[NIST Control],B59,Mapping_Travel[Total emissions (kgC02e)])</f>
        <v>0</v>
      </c>
      <c r="Q59" s="192" t="str" cm="1">
        <f t="array" ref="Q59">IFERROR(_xlfn.CONCAT(_xlfn._xlws.FILTER(Mapping_Travel[Type of transportation],Mapping_Travel[NIST Control]=B59)&amp;CHAR(10)),"")</f>
        <v/>
      </c>
      <c r="R59" s="190">
        <f>SUMIF(Mapping_Non_Cyber_Workstation_Laptop[NIST Control],B59,Mapping_Non_Cyber_Workstation_Laptop[Total emissions (kgC02e)])
+SUMIF(Mapping_Non_Cyber_Workstation_Desktop[NIST Control],B59,Mapping_Non_Cyber_Workstation_Desktop[Total emissions (kgC02e)])
+SUMIF(Mapping_Non_Cyber_VDI[NIST Control],B59,Mapping_Non_Cyber_VDI[Total emissions (kgC02e)])
+SUMIF(Mapping_Non_Cyber_Servers[NIST Control],B59,Mapping_Non_Cyber_Servers[Total emissions (kgC02e)])</f>
        <v>0</v>
      </c>
      <c r="S59" s="191" t="str" cm="1">
        <f t="array" ref="S59">_xlfn.CONCAT(
IFERROR(_xlfn.CONCAT(_xlfn._xlws.FILTER(Mapping_Non_Cyber_Workstation_Laptop[Scope],Mapping_Non_Cyber_Workstation_Laptop[NIST Control]=B59)&amp;CHAR(10)),""),
IFERROR(_xlfn.CONCAT(_xlfn._xlws.FILTER(Mapping_Non_Cyber_Workstation_Desktop[Scope],Mapping_Non_Cyber_Workstation_Desktop[NIST Control]=B59)&amp;CHAR(10)),""),
IFERROR(_xlfn.CONCAT(_xlfn._xlws.FILTER(Mapping_Non_Cyber_VDI[Scope],Mapping_Non_Cyber_VDI[NIST Control]=B59)&amp;CHAR(10)),""),
IFERROR(_xlfn.CONCAT(_xlfn._xlws.FILTER(Mapping_Non_Cyber_Servers[Scope],Mapping_Non_Cyber_Servers[NIST Control]=B59)&amp;CHAR(10)),"")
)</f>
        <v/>
      </c>
    </row>
    <row r="60" spans="1:19" ht="29.1">
      <c r="A60" s="27" t="s">
        <v>22</v>
      </c>
      <c r="B60" s="134" t="s">
        <v>109</v>
      </c>
      <c r="C60" s="27" t="s">
        <v>754</v>
      </c>
      <c r="D60"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60" s="33">
        <f>Dashboard_Per_Control[[#This Row],[Total yearly CO2e emissions (kgCO2e)]]/(1000*Total)</f>
        <v>0</v>
      </c>
      <c r="F60" s="190">
        <f xml:space="preserve">
SUMIF(Mapping_Devices_Workstation_Laptop[NIST Control],B60,Mapping_Devices_Workstation_Laptop[Total emissions (kgC02e)])
+SUMIF(Mapping_Devices_Workstation_Desktop[NIST Control],B60,Mapping_Devices_Workstation_Desktop[Total emissions (kgC02e)])
+SUMIF(Mapping_Devices_Screens[NIST Control],B60,Mapping_Devices_Screens[Total emissions (kgC02e)])+SUMIF(Mapping_Devices_Smartphone[NIST Control],B60,Mapping_Devices_Smartphone[Total emissions (kgC02e)])</f>
        <v>0</v>
      </c>
      <c r="G60" s="191" t="str" cm="1">
        <f t="array" ref="G60">_xlfn.CONCAT(
IFERROR(_xlfn.CONCAT(_xlfn._xlws.FILTER(Mapping_Devices_Workstation_Laptop[Scope],Mapping_Devices_Workstation_Laptop[NIST Control]=B60)&amp;CHAR(10)),""),
IFERROR(_xlfn.CONCAT(_xlfn._xlws.FILTER(#REF!,#REF!=B60)&amp;CHAR(10)),""),
IFERROR(_xlfn.CONCAT(_xlfn._xlws.FILTER(Mapping_Devices_Screens[Scope],Mapping_Devices_Screens[NIST Control]=B60)&amp;CHAR(10)),""),
IFERROR(_xlfn.CONCAT(_xlfn._xlws.FILTER(Mapping_Devices_Smartphone[Scope],Mapping_Devices_Smartphone[NIST Control]=B60)&amp;CHAR(10)),"")
)</f>
        <v/>
      </c>
      <c r="H60" s="190">
        <f>SUMIF(Mapping_Appliance[NIST Control],B60,Mapping_Appliance[Total emissions (kgC02e)])</f>
        <v>0</v>
      </c>
      <c r="I60" s="191" t="str" cm="1">
        <f t="array" ref="I60">IFERROR(_xlfn.CONCAT(_xlfn._xlws.FILTER(Mapping_Appliance[Scope],Mapping_Appliance[NIST Control]=B60)&amp;CHAR(10)),"")</f>
        <v/>
      </c>
      <c r="J60" s="190">
        <f>SUMIF(Mapping_Servers_Backup[NIST Control],B60,Mapping_Servers_Backup[Total emissions (kgC02e)])</f>
        <v>0</v>
      </c>
      <c r="K60" s="191" t="str" cm="1">
        <f t="array" ref="K60">_xlfn.CONCAT(
IFERROR(_xlfn.CONCAT(_xlfn._xlws.FILTER(Mapping_Non_Cyber_Servers[Scope],Mapping_Non_Cyber_Servers[NIST Control]=B60)&amp;CHAR(10)),""),
IFERROR(_xlfn.CONCAT(_xlfn._xlws.FILTER(Mapping_Servers_Backup[Scope],Mapping_Servers_Backup[NIST Control]=B60)&amp;CHAR(10)),""),
)</f>
        <v/>
      </c>
      <c r="L60" s="190">
        <f>SUMIF(Mapping_Solutions_On_Premise[NIST Control],B60,Mapping_Solutions_On_Premise[Total NIST carbon emission (kgCO2e)])
+SUMIF(Mapping_Solutions_Cloud[NIST Control],B60,Mapping_Solutions_Cloud[Total NIST carbon emission (kgCO2e)])</f>
        <v>0</v>
      </c>
      <c r="M60" s="191" t="str" cm="1">
        <f t="array" ref="M60">_xlfn.CONCAT(
IFERROR(_xlfn.CONCAT(_xlfn._xlws.FILTER(Mapping_Solutions_On_Premise[Application name],#REF!=B60)&amp;CHAR(10)),""),
IFERROR(_xlfn.CONCAT(_xlfn._xlws.FILTER(Mapping_Solutions_Cloud[Application name],#REF!=B60)&amp;CHAR(10)),"")
)</f>
        <v/>
      </c>
      <c r="N60" s="190">
        <f>SUMIF(Mapping_Externals_TM[NIST Control],B60,Mapping_Externals_TM[NIST carbon emission (kgCO2e)])
+SUMIF(Mapping_Externals_Fixed_Price[NIST Control],B60,Mapping_Externals_Fixed_Price[NIST carbon emission (kgCO2e)])</f>
        <v>0</v>
      </c>
      <c r="O60" s="191" t="str" cm="1">
        <f t="array" ref="O60">_xlfn.CONCAT(
IFERROR(_xlfn.CONCAT(_xlfn._xlws.FILTER(Mapping_Externals_TM[Service name],#REF!=B60)&amp;CHAR(10)),""),
IFERROR(_xlfn.CONCAT(_xlfn._xlws.FILTER(Mapping_Externals_Fixed_Price[Service name],#REF!=B60)&amp;CHAR(10)),""))</f>
        <v/>
      </c>
      <c r="P60" s="190">
        <f>SUMIF(Mapping_Travel[NIST Control],B60,Mapping_Travel[Total emissions (kgC02e)])</f>
        <v>0</v>
      </c>
      <c r="Q60" s="192" t="str" cm="1">
        <f t="array" ref="Q60">IFERROR(_xlfn.CONCAT(_xlfn._xlws.FILTER(Mapping_Travel[Type of transportation],Mapping_Travel[NIST Control]=B60)&amp;CHAR(10)),"")</f>
        <v/>
      </c>
      <c r="R60" s="190">
        <f>SUMIF(Mapping_Non_Cyber_Workstation_Laptop[NIST Control],B60,Mapping_Non_Cyber_Workstation_Laptop[Total emissions (kgC02e)])
+SUMIF(Mapping_Non_Cyber_Workstation_Desktop[NIST Control],B60,Mapping_Non_Cyber_Workstation_Desktop[Total emissions (kgC02e)])
+SUMIF(Mapping_Non_Cyber_VDI[NIST Control],B60,Mapping_Non_Cyber_VDI[Total emissions (kgC02e)])
+SUMIF(Mapping_Non_Cyber_Servers[NIST Control],B60,Mapping_Non_Cyber_Servers[Total emissions (kgC02e)])</f>
        <v>0</v>
      </c>
      <c r="S60" s="191" t="str" cm="1">
        <f t="array" ref="S60">_xlfn.CONCAT(
IFERROR(_xlfn.CONCAT(_xlfn._xlws.FILTER(Mapping_Non_Cyber_Workstation_Laptop[Scope],Mapping_Non_Cyber_Workstation_Laptop[NIST Control]=B60)&amp;CHAR(10)),""),
IFERROR(_xlfn.CONCAT(_xlfn._xlws.FILTER(Mapping_Non_Cyber_Workstation_Desktop[Scope],Mapping_Non_Cyber_Workstation_Desktop[NIST Control]=B60)&amp;CHAR(10)),""),
IFERROR(_xlfn.CONCAT(_xlfn._xlws.FILTER(Mapping_Non_Cyber_VDI[Scope],Mapping_Non_Cyber_VDI[NIST Control]=B60)&amp;CHAR(10)),""),
IFERROR(_xlfn.CONCAT(_xlfn._xlws.FILTER(Mapping_Non_Cyber_Servers[Scope],Mapping_Non_Cyber_Servers[NIST Control]=B60)&amp;CHAR(10)),"")
)</f>
        <v/>
      </c>
    </row>
    <row r="61" spans="1:19" ht="29.1">
      <c r="A61" s="31" t="s">
        <v>22</v>
      </c>
      <c r="B61" s="134" t="s">
        <v>111</v>
      </c>
      <c r="C61" s="31" t="s">
        <v>755</v>
      </c>
      <c r="D61"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61" s="33">
        <f>Dashboard_Per_Control[[#This Row],[Total yearly CO2e emissions (kgCO2e)]]/(1000*Total)</f>
        <v>0</v>
      </c>
      <c r="F61" s="190">
        <f xml:space="preserve">
SUMIF(Mapping_Devices_Workstation_Laptop[NIST Control],B61,Mapping_Devices_Workstation_Laptop[Total emissions (kgC02e)])
+SUMIF(Mapping_Devices_Workstation_Desktop[NIST Control],B61,Mapping_Devices_Workstation_Desktop[Total emissions (kgC02e)])
+SUMIF(Mapping_Devices_Screens[NIST Control],B61,Mapping_Devices_Screens[Total emissions (kgC02e)])+SUMIF(Mapping_Devices_Smartphone[NIST Control],B61,Mapping_Devices_Smartphone[Total emissions (kgC02e)])</f>
        <v>0</v>
      </c>
      <c r="G61" s="191" t="str" cm="1">
        <f t="array" ref="G61">_xlfn.CONCAT(
IFERROR(_xlfn.CONCAT(_xlfn._xlws.FILTER(Mapping_Devices_Workstation_Laptop[Scope],Mapping_Devices_Workstation_Laptop[NIST Control]=B61)&amp;CHAR(10)),""),
IFERROR(_xlfn.CONCAT(_xlfn._xlws.FILTER(#REF!,#REF!=B61)&amp;CHAR(10)),""),
IFERROR(_xlfn.CONCAT(_xlfn._xlws.FILTER(Mapping_Devices_Screens[Scope],Mapping_Devices_Screens[NIST Control]=B61)&amp;CHAR(10)),""),
IFERROR(_xlfn.CONCAT(_xlfn._xlws.FILTER(Mapping_Devices_Smartphone[Scope],Mapping_Devices_Smartphone[NIST Control]=B61)&amp;CHAR(10)),"")
)</f>
        <v/>
      </c>
      <c r="H61" s="190">
        <f>SUMIF(Mapping_Appliance[NIST Control],B61,Mapping_Appliance[Total emissions (kgC02e)])</f>
        <v>0</v>
      </c>
      <c r="I61" s="191" t="str" cm="1">
        <f t="array" ref="I61">IFERROR(_xlfn.CONCAT(_xlfn._xlws.FILTER(Mapping_Appliance[Scope],Mapping_Appliance[NIST Control]=B61)&amp;CHAR(10)),"")</f>
        <v/>
      </c>
      <c r="J61" s="190">
        <f>SUMIF(Mapping_Servers_Backup[NIST Control],B61,Mapping_Servers_Backup[Total emissions (kgC02e)])</f>
        <v>0</v>
      </c>
      <c r="K61" s="191" t="str" cm="1">
        <f t="array" ref="K61">_xlfn.CONCAT(
IFERROR(_xlfn.CONCAT(_xlfn._xlws.FILTER(Mapping_Non_Cyber_Servers[Scope],Mapping_Non_Cyber_Servers[NIST Control]=B61)&amp;CHAR(10)),""),
IFERROR(_xlfn.CONCAT(_xlfn._xlws.FILTER(Mapping_Servers_Backup[Scope],Mapping_Servers_Backup[NIST Control]=B61)&amp;CHAR(10)),""),
)</f>
        <v/>
      </c>
      <c r="L61" s="190">
        <f>SUMIF(Mapping_Solutions_On_Premise[NIST Control],B61,Mapping_Solutions_On_Premise[Total NIST carbon emission (kgCO2e)])
+SUMIF(Mapping_Solutions_Cloud[NIST Control],B61,Mapping_Solutions_Cloud[Total NIST carbon emission (kgCO2e)])</f>
        <v>0</v>
      </c>
      <c r="M61" s="191" t="str" cm="1">
        <f t="array" ref="M61">_xlfn.CONCAT(
IFERROR(_xlfn.CONCAT(_xlfn._xlws.FILTER(Mapping_Solutions_On_Premise[Application name],#REF!=B61)&amp;CHAR(10)),""),
IFERROR(_xlfn.CONCAT(_xlfn._xlws.FILTER(Mapping_Solutions_Cloud[Application name],#REF!=B61)&amp;CHAR(10)),"")
)</f>
        <v/>
      </c>
      <c r="N61" s="190">
        <f>SUMIF(Mapping_Externals_TM[NIST Control],B61,Mapping_Externals_TM[NIST carbon emission (kgCO2e)])
+SUMIF(Mapping_Externals_Fixed_Price[NIST Control],B61,Mapping_Externals_Fixed_Price[NIST carbon emission (kgCO2e)])</f>
        <v>0</v>
      </c>
      <c r="O61" s="191" t="str" cm="1">
        <f t="array" ref="O61">_xlfn.CONCAT(
IFERROR(_xlfn.CONCAT(_xlfn._xlws.FILTER(Mapping_Externals_TM[Service name],#REF!=B61)&amp;CHAR(10)),""),
IFERROR(_xlfn.CONCAT(_xlfn._xlws.FILTER(Mapping_Externals_Fixed_Price[Service name],#REF!=B61)&amp;CHAR(10)),""))</f>
        <v/>
      </c>
      <c r="P61" s="190">
        <f>SUMIF(Mapping_Travel[NIST Control],B61,Mapping_Travel[Total emissions (kgC02e)])</f>
        <v>0</v>
      </c>
      <c r="Q61" s="192" t="str" cm="1">
        <f t="array" ref="Q61">IFERROR(_xlfn.CONCAT(_xlfn._xlws.FILTER(Mapping_Travel[Type of transportation],Mapping_Travel[NIST Control]=B61)&amp;CHAR(10)),"")</f>
        <v/>
      </c>
      <c r="R61" s="190">
        <f>SUMIF(Mapping_Non_Cyber_Workstation_Laptop[NIST Control],B61,Mapping_Non_Cyber_Workstation_Laptop[Total emissions (kgC02e)])
+SUMIF(Mapping_Non_Cyber_Workstation_Desktop[NIST Control],B61,Mapping_Non_Cyber_Workstation_Desktop[Total emissions (kgC02e)])
+SUMIF(Mapping_Non_Cyber_VDI[NIST Control],B61,Mapping_Non_Cyber_VDI[Total emissions (kgC02e)])
+SUMIF(Mapping_Non_Cyber_Servers[NIST Control],B61,Mapping_Non_Cyber_Servers[Total emissions (kgC02e)])</f>
        <v>0</v>
      </c>
      <c r="S61" s="191" t="str" cm="1">
        <f t="array" ref="S61">_xlfn.CONCAT(
IFERROR(_xlfn.CONCAT(_xlfn._xlws.FILTER(Mapping_Non_Cyber_Workstation_Laptop[Scope],Mapping_Non_Cyber_Workstation_Laptop[NIST Control]=B61)&amp;CHAR(10)),""),
IFERROR(_xlfn.CONCAT(_xlfn._xlws.FILTER(Mapping_Non_Cyber_Workstation_Desktop[Scope],Mapping_Non_Cyber_Workstation_Desktop[NIST Control]=B61)&amp;CHAR(10)),""),
IFERROR(_xlfn.CONCAT(_xlfn._xlws.FILTER(Mapping_Non_Cyber_VDI[Scope],Mapping_Non_Cyber_VDI[NIST Control]=B61)&amp;CHAR(10)),""),
IFERROR(_xlfn.CONCAT(_xlfn._xlws.FILTER(Mapping_Non_Cyber_Servers[Scope],Mapping_Non_Cyber_Servers[NIST Control]=B61)&amp;CHAR(10)),"")
)</f>
        <v/>
      </c>
    </row>
    <row r="62" spans="1:19" ht="57.95">
      <c r="A62" s="27" t="s">
        <v>23</v>
      </c>
      <c r="B62" s="134" t="s">
        <v>113</v>
      </c>
      <c r="C62" s="27" t="s">
        <v>756</v>
      </c>
      <c r="D62"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15972.790834285715</v>
      </c>
      <c r="E62" s="33">
        <f>Dashboard_Per_Control[[#This Row],[Total yearly CO2e emissions (kgCO2e)]]/(1000*Total)</f>
        <v>2.9928528165570891E-3</v>
      </c>
      <c r="F62" s="190">
        <f xml:space="preserve">
SUMIF(Mapping_Devices_Workstation_Laptop[NIST Control],B62,Mapping_Devices_Workstation_Laptop[Total emissions (kgC02e)])
+SUMIF(Mapping_Devices_Workstation_Desktop[NIST Control],B62,Mapping_Devices_Workstation_Desktop[Total emissions (kgC02e)])
+SUMIF(Mapping_Devices_Screens[NIST Control],B62,Mapping_Devices_Screens[Total emissions (kgC02e)])+SUMIF(Mapping_Devices_Smartphone[NIST Control],B62,Mapping_Devices_Smartphone[Total emissions (kgC02e)])</f>
        <v>0</v>
      </c>
      <c r="G62" s="191" t="str" cm="1">
        <f t="array" ref="G62">_xlfn.CONCAT(
IFERROR(_xlfn.CONCAT(_xlfn._xlws.FILTER(Mapping_Devices_Workstation_Laptop[Scope],Mapping_Devices_Workstation_Laptop[NIST Control]=B62)&amp;CHAR(10)),""),
IFERROR(_xlfn.CONCAT(_xlfn._xlws.FILTER(#REF!,#REF!=B62)&amp;CHAR(10)),""),
IFERROR(_xlfn.CONCAT(_xlfn._xlws.FILTER(Mapping_Devices_Screens[Scope],Mapping_Devices_Screens[NIST Control]=B62)&amp;CHAR(10)),""),
IFERROR(_xlfn.CONCAT(_xlfn._xlws.FILTER(Mapping_Devices_Smartphone[Scope],Mapping_Devices_Smartphone[NIST Control]=B62)&amp;CHAR(10)),"")
)</f>
        <v/>
      </c>
      <c r="H62" s="190">
        <f>SUMIF(Mapping_Appliance[NIST Control],B62,Mapping_Appliance[Total emissions (kgC02e)])</f>
        <v>15972.790834285715</v>
      </c>
      <c r="I62" s="191" t="str" cm="1">
        <f t="array" ref="I62">IFERROR(_xlfn.CONCAT(_xlfn._xlws.FILTER(Mapping_Appliance[Scope],Mapping_Appliance[NIST Control]=B62)&amp;CHAR(10)),"")</f>
        <v xml:space="preserve">Firewall/WAF in your entire company
</v>
      </c>
      <c r="J62" s="190">
        <f>SUMIF(Mapping_Servers_Backup[NIST Control],B62,Mapping_Servers_Backup[Total emissions (kgC02e)])</f>
        <v>0</v>
      </c>
      <c r="K62" s="191" t="str" cm="1">
        <f t="array" ref="K62">_xlfn.CONCAT(
IFERROR(_xlfn.CONCAT(_xlfn._xlws.FILTER(Mapping_Non_Cyber_Servers[Scope],Mapping_Non_Cyber_Servers[NIST Control]=B62)&amp;CHAR(10)),""),
IFERROR(_xlfn.CONCAT(_xlfn._xlws.FILTER(Mapping_Servers_Backup[Scope],Mapping_Servers_Backup[NIST Control]=B62)&amp;CHAR(10)),""),
)</f>
        <v/>
      </c>
      <c r="L62" s="190">
        <f>SUMIF(Mapping_Solutions_On_Premise[NIST Control],B62,Mapping_Solutions_On_Premise[Total NIST carbon emission (kgCO2e)])
+SUMIF(Mapping_Solutions_Cloud[NIST Control],B62,Mapping_Solutions_Cloud[Total NIST carbon emission (kgCO2e)])</f>
        <v>0</v>
      </c>
      <c r="M62" s="191" t="str" cm="1">
        <f t="array" ref="M62">_xlfn.CONCAT(
IFERROR(_xlfn.CONCAT(_xlfn._xlws.FILTER(Mapping_Solutions_On_Premise[Application name],#REF!=B62)&amp;CHAR(10)),""),
IFERROR(_xlfn.CONCAT(_xlfn._xlws.FILTER(Mapping_Solutions_Cloud[Application name],#REF!=B62)&amp;CHAR(10)),"")
)</f>
        <v/>
      </c>
      <c r="N62" s="190">
        <f>SUMIF(Mapping_Externals_TM[NIST Control],B62,Mapping_Externals_TM[NIST carbon emission (kgCO2e)])
+SUMIF(Mapping_Externals_Fixed_Price[NIST Control],B62,Mapping_Externals_Fixed_Price[NIST carbon emission (kgCO2e)])</f>
        <v>0</v>
      </c>
      <c r="O62" s="191" t="str" cm="1">
        <f t="array" ref="O62">_xlfn.CONCAT(
IFERROR(_xlfn.CONCAT(_xlfn._xlws.FILTER(Mapping_Externals_TM[Service name],#REF!=B62)&amp;CHAR(10)),""),
IFERROR(_xlfn.CONCAT(_xlfn._xlws.FILTER(Mapping_Externals_Fixed_Price[Service name],#REF!=B62)&amp;CHAR(10)),""))</f>
        <v/>
      </c>
      <c r="P62" s="190">
        <f>SUMIF(Mapping_Travel[NIST Control],B62,Mapping_Travel[Total emissions (kgC02e)])</f>
        <v>0</v>
      </c>
      <c r="Q62" s="192" t="str" cm="1">
        <f t="array" ref="Q62">IFERROR(_xlfn.CONCAT(_xlfn._xlws.FILTER(Mapping_Travel[Type of transportation],Mapping_Travel[NIST Control]=B62)&amp;CHAR(10)),"")</f>
        <v/>
      </c>
      <c r="R62" s="190">
        <f>SUMIF(Mapping_Non_Cyber_Workstation_Laptop[NIST Control],B62,Mapping_Non_Cyber_Workstation_Laptop[Total emissions (kgC02e)])
+SUMIF(Mapping_Non_Cyber_Workstation_Desktop[NIST Control],B62,Mapping_Non_Cyber_Workstation_Desktop[Total emissions (kgC02e)])
+SUMIF(Mapping_Non_Cyber_VDI[NIST Control],B62,Mapping_Non_Cyber_VDI[Total emissions (kgC02e)])
+SUMIF(Mapping_Non_Cyber_Servers[NIST Control],B62,Mapping_Non_Cyber_Servers[Total emissions (kgC02e)])</f>
        <v>0</v>
      </c>
      <c r="S62" s="191" t="str" cm="1">
        <f t="array" ref="S62">_xlfn.CONCAT(
IFERROR(_xlfn.CONCAT(_xlfn._xlws.FILTER(Mapping_Non_Cyber_Workstation_Laptop[Scope],Mapping_Non_Cyber_Workstation_Laptop[NIST Control]=B62)&amp;CHAR(10)),""),
IFERROR(_xlfn.CONCAT(_xlfn._xlws.FILTER(Mapping_Non_Cyber_Workstation_Desktop[Scope],Mapping_Non_Cyber_Workstation_Desktop[NIST Control]=B62)&amp;CHAR(10)),""),
IFERROR(_xlfn.CONCAT(_xlfn._xlws.FILTER(Mapping_Non_Cyber_VDI[Scope],Mapping_Non_Cyber_VDI[NIST Control]=B62)&amp;CHAR(10)),""),
IFERROR(_xlfn.CONCAT(_xlfn._xlws.FILTER(Mapping_Non_Cyber_Servers[Scope],Mapping_Non_Cyber_Servers[NIST Control]=B62)&amp;CHAR(10)),"")
)</f>
        <v/>
      </c>
    </row>
    <row r="63" spans="1:19">
      <c r="A63" s="27" t="s">
        <v>23</v>
      </c>
      <c r="B63" s="134" t="s">
        <v>115</v>
      </c>
      <c r="C63" s="27" t="s">
        <v>757</v>
      </c>
      <c r="D63"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63" s="33">
        <f>Dashboard_Per_Control[[#This Row],[Total yearly CO2e emissions (kgCO2e)]]/(1000*Total)</f>
        <v>0</v>
      </c>
      <c r="F63" s="190">
        <f xml:space="preserve">
SUMIF(Mapping_Devices_Workstation_Laptop[NIST Control],B63,Mapping_Devices_Workstation_Laptop[Total emissions (kgC02e)])
+SUMIF(Mapping_Devices_Workstation_Desktop[NIST Control],B63,Mapping_Devices_Workstation_Desktop[Total emissions (kgC02e)])
+SUMIF(Mapping_Devices_Screens[NIST Control],B63,Mapping_Devices_Screens[Total emissions (kgC02e)])+SUMIF(Mapping_Devices_Smartphone[NIST Control],B63,Mapping_Devices_Smartphone[Total emissions (kgC02e)])</f>
        <v>0</v>
      </c>
      <c r="G63" s="191" t="str" cm="1">
        <f t="array" ref="G63">_xlfn.CONCAT(
IFERROR(_xlfn.CONCAT(_xlfn._xlws.FILTER(Mapping_Devices_Workstation_Laptop[Scope],Mapping_Devices_Workstation_Laptop[NIST Control]=B63)&amp;CHAR(10)),""),
IFERROR(_xlfn.CONCAT(_xlfn._xlws.FILTER(#REF!,#REF!=B63)&amp;CHAR(10)),""),
IFERROR(_xlfn.CONCAT(_xlfn._xlws.FILTER(Mapping_Devices_Screens[Scope],Mapping_Devices_Screens[NIST Control]=B63)&amp;CHAR(10)),""),
IFERROR(_xlfn.CONCAT(_xlfn._xlws.FILTER(Mapping_Devices_Smartphone[Scope],Mapping_Devices_Smartphone[NIST Control]=B63)&amp;CHAR(10)),"")
)</f>
        <v/>
      </c>
      <c r="H63" s="190">
        <f>SUMIF(Mapping_Appliance[NIST Control],B63,Mapping_Appliance[Total emissions (kgC02e)])</f>
        <v>0</v>
      </c>
      <c r="I63" s="191" t="str" cm="1">
        <f t="array" ref="I63">IFERROR(_xlfn.CONCAT(_xlfn._xlws.FILTER(Mapping_Appliance[Scope],Mapping_Appliance[NIST Control]=B63)&amp;CHAR(10)),"")</f>
        <v/>
      </c>
      <c r="J63" s="190">
        <f>SUMIF(Mapping_Servers_Backup[NIST Control],B63,Mapping_Servers_Backup[Total emissions (kgC02e)])</f>
        <v>0</v>
      </c>
      <c r="K63" s="191" t="str" cm="1">
        <f t="array" ref="K63">_xlfn.CONCAT(
IFERROR(_xlfn.CONCAT(_xlfn._xlws.FILTER(Mapping_Non_Cyber_Servers[Scope],Mapping_Non_Cyber_Servers[NIST Control]=B63)&amp;CHAR(10)),""),
IFERROR(_xlfn.CONCAT(_xlfn._xlws.FILTER(Mapping_Servers_Backup[Scope],Mapping_Servers_Backup[NIST Control]=B63)&amp;CHAR(10)),""),
)</f>
        <v/>
      </c>
      <c r="L63" s="190">
        <f>SUMIF(Mapping_Solutions_On_Premise[NIST Control],B63,Mapping_Solutions_On_Premise[Total NIST carbon emission (kgCO2e)])
+SUMIF(Mapping_Solutions_Cloud[NIST Control],B63,Mapping_Solutions_Cloud[Total NIST carbon emission (kgCO2e)])</f>
        <v>0</v>
      </c>
      <c r="M63" s="191" t="str" cm="1">
        <f t="array" ref="M63">_xlfn.CONCAT(
IFERROR(_xlfn.CONCAT(_xlfn._xlws.FILTER(Mapping_Solutions_On_Premise[Application name],#REF!=B63)&amp;CHAR(10)),""),
IFERROR(_xlfn.CONCAT(_xlfn._xlws.FILTER(Mapping_Solutions_Cloud[Application name],#REF!=B63)&amp;CHAR(10)),"")
)</f>
        <v/>
      </c>
      <c r="N63" s="190">
        <f>SUMIF(Mapping_Externals_TM[NIST Control],B63,Mapping_Externals_TM[NIST carbon emission (kgCO2e)])
+SUMIF(Mapping_Externals_Fixed_Price[NIST Control],B63,Mapping_Externals_Fixed_Price[NIST carbon emission (kgCO2e)])</f>
        <v>0</v>
      </c>
      <c r="O63" s="191" t="str" cm="1">
        <f t="array" ref="O63">_xlfn.CONCAT(
IFERROR(_xlfn.CONCAT(_xlfn._xlws.FILTER(Mapping_Externals_TM[Service name],#REF!=B63)&amp;CHAR(10)),""),
IFERROR(_xlfn.CONCAT(_xlfn._xlws.FILTER(Mapping_Externals_Fixed_Price[Service name],#REF!=B63)&amp;CHAR(10)),""))</f>
        <v/>
      </c>
      <c r="P63" s="190">
        <f>SUMIF(Mapping_Travel[NIST Control],B63,Mapping_Travel[Total emissions (kgC02e)])</f>
        <v>0</v>
      </c>
      <c r="Q63" s="192" t="str" cm="1">
        <f t="array" ref="Q63">IFERROR(_xlfn.CONCAT(_xlfn._xlws.FILTER(Mapping_Travel[Type of transportation],Mapping_Travel[NIST Control]=B63)&amp;CHAR(10)),"")</f>
        <v/>
      </c>
      <c r="R63" s="190">
        <f>SUMIF(Mapping_Non_Cyber_Workstation_Laptop[NIST Control],B63,Mapping_Non_Cyber_Workstation_Laptop[Total emissions (kgC02e)])
+SUMIF(Mapping_Non_Cyber_Workstation_Desktop[NIST Control],B63,Mapping_Non_Cyber_Workstation_Desktop[Total emissions (kgC02e)])
+SUMIF(Mapping_Non_Cyber_VDI[NIST Control],B63,Mapping_Non_Cyber_VDI[Total emissions (kgC02e)])
+SUMIF(Mapping_Non_Cyber_Servers[NIST Control],B63,Mapping_Non_Cyber_Servers[Total emissions (kgC02e)])</f>
        <v>0</v>
      </c>
      <c r="S63" s="191" t="str" cm="1">
        <f t="array" ref="S63">_xlfn.CONCAT(
IFERROR(_xlfn.CONCAT(_xlfn._xlws.FILTER(Mapping_Non_Cyber_Workstation_Laptop[Scope],Mapping_Non_Cyber_Workstation_Laptop[NIST Control]=B63)&amp;CHAR(10)),""),
IFERROR(_xlfn.CONCAT(_xlfn._xlws.FILTER(Mapping_Non_Cyber_Workstation_Desktop[Scope],Mapping_Non_Cyber_Workstation_Desktop[NIST Control]=B63)&amp;CHAR(10)),""),
IFERROR(_xlfn.CONCAT(_xlfn._xlws.FILTER(Mapping_Non_Cyber_VDI[Scope],Mapping_Non_Cyber_VDI[NIST Control]=B63)&amp;CHAR(10)),""),
IFERROR(_xlfn.CONCAT(_xlfn._xlws.FILTER(Mapping_Non_Cyber_Servers[Scope],Mapping_Non_Cyber_Servers[NIST Control]=B63)&amp;CHAR(10)),"")
)</f>
        <v/>
      </c>
    </row>
    <row r="64" spans="1:19" ht="43.5">
      <c r="A64" s="27" t="s">
        <v>23</v>
      </c>
      <c r="B64" s="134" t="s">
        <v>117</v>
      </c>
      <c r="C64" s="27" t="s">
        <v>758</v>
      </c>
      <c r="D64"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1238739.6661359216</v>
      </c>
      <c r="E64" s="33">
        <f>Dashboard_Per_Control[[#This Row],[Total yearly CO2e emissions (kgCO2e)]]/(1000*Total)</f>
        <v>0.23210505523042307</v>
      </c>
      <c r="F64" s="190">
        <f xml:space="preserve">
SUMIF(Mapping_Devices_Workstation_Laptop[NIST Control],B64,Mapping_Devices_Workstation_Laptop[Total emissions (kgC02e)])
+SUMIF(Mapping_Devices_Workstation_Desktop[NIST Control],B64,Mapping_Devices_Workstation_Desktop[Total emissions (kgC02e)])
+SUMIF(Mapping_Devices_Screens[NIST Control],B64,Mapping_Devices_Screens[Total emissions (kgC02e)])+SUMIF(Mapping_Devices_Smartphone[NIST Control],B64,Mapping_Devices_Smartphone[Total emissions (kgC02e)])</f>
        <v>0</v>
      </c>
      <c r="G64" s="191" t="str" cm="1">
        <f t="array" ref="G64">_xlfn.CONCAT(
IFERROR(_xlfn.CONCAT(_xlfn._xlws.FILTER(Mapping_Devices_Workstation_Laptop[Scope],Mapping_Devices_Workstation_Laptop[NIST Control]=B64)&amp;CHAR(10)),""),
IFERROR(_xlfn.CONCAT(_xlfn._xlws.FILTER(#REF!,#REF!=B64)&amp;CHAR(10)),""),
IFERROR(_xlfn.CONCAT(_xlfn._xlws.FILTER(Mapping_Devices_Screens[Scope],Mapping_Devices_Screens[NIST Control]=B64)&amp;CHAR(10)),""),
IFERROR(_xlfn.CONCAT(_xlfn._xlws.FILTER(Mapping_Devices_Smartphone[Scope],Mapping_Devices_Smartphone[NIST Control]=B64)&amp;CHAR(10)),"")
)</f>
        <v/>
      </c>
      <c r="H64" s="190">
        <f>SUMIF(Mapping_Appliance[NIST Control],B64,Mapping_Appliance[Total emissions (kgC02e)])</f>
        <v>0</v>
      </c>
      <c r="I64" s="191" t="str" cm="1">
        <f t="array" ref="I64">IFERROR(_xlfn.CONCAT(_xlfn._xlws.FILTER(Mapping_Appliance[Scope],Mapping_Appliance[NIST Control]=B64)&amp;CHAR(10)),"")</f>
        <v/>
      </c>
      <c r="J64" s="190">
        <f>SUMIF(Mapping_Servers_Backup[NIST Control],B64,Mapping_Servers_Backup[Total emissions (kgC02e)])</f>
        <v>0</v>
      </c>
      <c r="K64" s="191" t="str" cm="1">
        <f t="array" ref="K64">_xlfn.CONCAT(
IFERROR(_xlfn.CONCAT(_xlfn._xlws.FILTER(Mapping_Non_Cyber_Servers[Scope],Mapping_Non_Cyber_Servers[NIST Control]=B64)&amp;CHAR(10)),""),
IFERROR(_xlfn.CONCAT(_xlfn._xlws.FILTER(Mapping_Servers_Backup[Scope],Mapping_Servers_Backup[NIST Control]=B64)&amp;CHAR(10)),""),
)</f>
        <v/>
      </c>
      <c r="L64" s="190">
        <f>SUMIF(Mapping_Solutions_On_Premise[NIST Control],B64,Mapping_Solutions_On_Premise[Total NIST carbon emission (kgCO2e)])
+SUMIF(Mapping_Solutions_Cloud[NIST Control],B64,Mapping_Solutions_Cloud[Total NIST carbon emission (kgCO2e)])</f>
        <v>1223269.311</v>
      </c>
      <c r="M64" s="191" t="str" cm="1">
        <f t="array" ref="M64">_xlfn.CONCAT(
IFERROR(_xlfn.CONCAT(_xlfn._xlws.FILTER(Mapping_Solutions_On_Premise[Application name],#REF!=B64)&amp;CHAR(10)),""),
IFERROR(_xlfn.CONCAT(_xlfn._xlws.FILTER(Mapping_Solutions_Cloud[Application name],#REF!=B64)&amp;CHAR(10)),"")
)</f>
        <v/>
      </c>
      <c r="N64" s="190">
        <f>SUMIF(Mapping_Externals_TM[NIST Control],B64,Mapping_Externals_TM[NIST carbon emission (kgCO2e)])
+SUMIF(Mapping_Externals_Fixed_Price[NIST Control],B64,Mapping_Externals_Fixed_Price[NIST carbon emission (kgCO2e)])</f>
        <v>15470.355135921536</v>
      </c>
      <c r="O64" s="191" t="str" cm="1">
        <f t="array" ref="O64">_xlfn.CONCAT(
IFERROR(_xlfn.CONCAT(_xlfn._xlws.FILTER(Mapping_Externals_TM[Service name],#REF!=B64)&amp;CHAR(10)),""),
IFERROR(_xlfn.CONCAT(_xlfn._xlws.FILTER(Mapping_Externals_Fixed_Price[Service name],#REF!=B64)&amp;CHAR(10)),""))</f>
        <v/>
      </c>
      <c r="P64" s="190">
        <f>SUMIF(Mapping_Travel[NIST Control],B64,Mapping_Travel[Total emissions (kgC02e)])</f>
        <v>0</v>
      </c>
      <c r="Q64" s="192" t="str" cm="1">
        <f t="array" ref="Q64">IFERROR(_xlfn.CONCAT(_xlfn._xlws.FILTER(Mapping_Travel[Type of transportation],Mapping_Travel[NIST Control]=B64)&amp;CHAR(10)),"")</f>
        <v/>
      </c>
      <c r="R64" s="190">
        <f>SUMIF(Mapping_Non_Cyber_Workstation_Laptop[NIST Control],B64,Mapping_Non_Cyber_Workstation_Laptop[Total emissions (kgC02e)])
+SUMIF(Mapping_Non_Cyber_Workstation_Desktop[NIST Control],B64,Mapping_Non_Cyber_Workstation_Desktop[Total emissions (kgC02e)])
+SUMIF(Mapping_Non_Cyber_VDI[NIST Control],B64,Mapping_Non_Cyber_VDI[Total emissions (kgC02e)])
+SUMIF(Mapping_Non_Cyber_Servers[NIST Control],B64,Mapping_Non_Cyber_Servers[Total emissions (kgC02e)])</f>
        <v>0</v>
      </c>
      <c r="S64" s="191" t="str" cm="1">
        <f t="array" ref="S64">_xlfn.CONCAT(
IFERROR(_xlfn.CONCAT(_xlfn._xlws.FILTER(Mapping_Non_Cyber_Workstation_Laptop[Scope],Mapping_Non_Cyber_Workstation_Laptop[NIST Control]=B64)&amp;CHAR(10)),""),
IFERROR(_xlfn.CONCAT(_xlfn._xlws.FILTER(Mapping_Non_Cyber_Workstation_Desktop[Scope],Mapping_Non_Cyber_Workstation_Desktop[NIST Control]=B64)&amp;CHAR(10)),""),
IFERROR(_xlfn.CONCAT(_xlfn._xlws.FILTER(Mapping_Non_Cyber_VDI[Scope],Mapping_Non_Cyber_VDI[NIST Control]=B64)&amp;CHAR(10)),""),
IFERROR(_xlfn.CONCAT(_xlfn._xlws.FILTER(Mapping_Non_Cyber_Servers[Scope],Mapping_Non_Cyber_Servers[NIST Control]=B64)&amp;CHAR(10)),"")
)</f>
        <v/>
      </c>
    </row>
    <row r="65" spans="1:19" ht="29.1">
      <c r="A65" s="27" t="s">
        <v>23</v>
      </c>
      <c r="B65" s="134" t="s">
        <v>119</v>
      </c>
      <c r="C65" s="27" t="s">
        <v>759</v>
      </c>
      <c r="D65"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65" s="33">
        <f>Dashboard_Per_Control[[#This Row],[Total yearly CO2e emissions (kgCO2e)]]/(1000*Total)</f>
        <v>0</v>
      </c>
      <c r="F65" s="190">
        <f xml:space="preserve">
SUMIF(Mapping_Devices_Workstation_Laptop[NIST Control],B65,Mapping_Devices_Workstation_Laptop[Total emissions (kgC02e)])
+SUMIF(Mapping_Devices_Workstation_Desktop[NIST Control],B65,Mapping_Devices_Workstation_Desktop[Total emissions (kgC02e)])
+SUMIF(Mapping_Devices_Screens[NIST Control],B65,Mapping_Devices_Screens[Total emissions (kgC02e)])+SUMIF(Mapping_Devices_Smartphone[NIST Control],B65,Mapping_Devices_Smartphone[Total emissions (kgC02e)])</f>
        <v>0</v>
      </c>
      <c r="G65" s="191" t="str" cm="1">
        <f t="array" ref="G65">_xlfn.CONCAT(
IFERROR(_xlfn.CONCAT(_xlfn._xlws.FILTER(Mapping_Devices_Workstation_Laptop[Scope],Mapping_Devices_Workstation_Laptop[NIST Control]=B65)&amp;CHAR(10)),""),
IFERROR(_xlfn.CONCAT(_xlfn._xlws.FILTER(#REF!,#REF!=B65)&amp;CHAR(10)),""),
IFERROR(_xlfn.CONCAT(_xlfn._xlws.FILTER(Mapping_Devices_Screens[Scope],Mapping_Devices_Screens[NIST Control]=B65)&amp;CHAR(10)),""),
IFERROR(_xlfn.CONCAT(_xlfn._xlws.FILTER(Mapping_Devices_Smartphone[Scope],Mapping_Devices_Smartphone[NIST Control]=B65)&amp;CHAR(10)),"")
)</f>
        <v/>
      </c>
      <c r="H65" s="190">
        <f>SUMIF(Mapping_Appliance[NIST Control],B65,Mapping_Appliance[Total emissions (kgC02e)])</f>
        <v>0</v>
      </c>
      <c r="I65" s="191" t="str" cm="1">
        <f t="array" ref="I65">IFERROR(_xlfn.CONCAT(_xlfn._xlws.FILTER(Mapping_Appliance[Scope],Mapping_Appliance[NIST Control]=B65)&amp;CHAR(10)),"")</f>
        <v/>
      </c>
      <c r="J65" s="190">
        <f>SUMIF(Mapping_Servers_Backup[NIST Control],B65,Mapping_Servers_Backup[Total emissions (kgC02e)])</f>
        <v>0</v>
      </c>
      <c r="K65" s="191" t="str" cm="1">
        <f t="array" ref="K65">_xlfn.CONCAT(
IFERROR(_xlfn.CONCAT(_xlfn._xlws.FILTER(Mapping_Non_Cyber_Servers[Scope],Mapping_Non_Cyber_Servers[NIST Control]=B65)&amp;CHAR(10)),""),
IFERROR(_xlfn.CONCAT(_xlfn._xlws.FILTER(Mapping_Servers_Backup[Scope],Mapping_Servers_Backup[NIST Control]=B65)&amp;CHAR(10)),""),
)</f>
        <v/>
      </c>
      <c r="L65" s="190">
        <f>SUMIF(Mapping_Solutions_On_Premise[NIST Control],B65,Mapping_Solutions_On_Premise[Total NIST carbon emission (kgCO2e)])
+SUMIF(Mapping_Solutions_Cloud[NIST Control],B65,Mapping_Solutions_Cloud[Total NIST carbon emission (kgCO2e)])</f>
        <v>0</v>
      </c>
      <c r="M65" s="191" t="str" cm="1">
        <f t="array" ref="M65">_xlfn.CONCAT(
IFERROR(_xlfn.CONCAT(_xlfn._xlws.FILTER(Mapping_Solutions_On_Premise[Application name],#REF!=B65)&amp;CHAR(10)),""),
IFERROR(_xlfn.CONCAT(_xlfn._xlws.FILTER(Mapping_Solutions_Cloud[Application name],#REF!=B65)&amp;CHAR(10)),"")
)</f>
        <v/>
      </c>
      <c r="N65" s="190">
        <f>SUMIF(Mapping_Externals_TM[NIST Control],B65,Mapping_Externals_TM[NIST carbon emission (kgCO2e)])
+SUMIF(Mapping_Externals_Fixed_Price[NIST Control],B65,Mapping_Externals_Fixed_Price[NIST carbon emission (kgCO2e)])</f>
        <v>0</v>
      </c>
      <c r="O65" s="191" t="str" cm="1">
        <f t="array" ref="O65">_xlfn.CONCAT(
IFERROR(_xlfn.CONCAT(_xlfn._xlws.FILTER(Mapping_Externals_TM[Service name],#REF!=B65)&amp;CHAR(10)),""),
IFERROR(_xlfn.CONCAT(_xlfn._xlws.FILTER(Mapping_Externals_Fixed_Price[Service name],#REF!=B65)&amp;CHAR(10)),""))</f>
        <v/>
      </c>
      <c r="P65" s="190">
        <f>SUMIF(Mapping_Travel[NIST Control],B65,Mapping_Travel[Total emissions (kgC02e)])</f>
        <v>0</v>
      </c>
      <c r="Q65" s="192" t="str" cm="1">
        <f t="array" ref="Q65">IFERROR(_xlfn.CONCAT(_xlfn._xlws.FILTER(Mapping_Travel[Type of transportation],Mapping_Travel[NIST Control]=B65)&amp;CHAR(10)),"")</f>
        <v/>
      </c>
      <c r="R65" s="190">
        <f>SUMIF(Mapping_Non_Cyber_Workstation_Laptop[NIST Control],B65,Mapping_Non_Cyber_Workstation_Laptop[Total emissions (kgC02e)])
+SUMIF(Mapping_Non_Cyber_Workstation_Desktop[NIST Control],B65,Mapping_Non_Cyber_Workstation_Desktop[Total emissions (kgC02e)])
+SUMIF(Mapping_Non_Cyber_VDI[NIST Control],B65,Mapping_Non_Cyber_VDI[Total emissions (kgC02e)])
+SUMIF(Mapping_Non_Cyber_Servers[NIST Control],B65,Mapping_Non_Cyber_Servers[Total emissions (kgC02e)])</f>
        <v>0</v>
      </c>
      <c r="S65" s="191" t="str" cm="1">
        <f t="array" ref="S65">_xlfn.CONCAT(
IFERROR(_xlfn.CONCAT(_xlfn._xlws.FILTER(Mapping_Non_Cyber_Workstation_Laptop[Scope],Mapping_Non_Cyber_Workstation_Laptop[NIST Control]=B65)&amp;CHAR(10)),""),
IFERROR(_xlfn.CONCAT(_xlfn._xlws.FILTER(Mapping_Non_Cyber_Workstation_Desktop[Scope],Mapping_Non_Cyber_Workstation_Desktop[NIST Control]=B65)&amp;CHAR(10)),""),
IFERROR(_xlfn.CONCAT(_xlfn._xlws.FILTER(Mapping_Non_Cyber_VDI[Scope],Mapping_Non_Cyber_VDI[NIST Control]=B65)&amp;CHAR(10)),""),
IFERROR(_xlfn.CONCAT(_xlfn._xlws.FILTER(Mapping_Non_Cyber_Servers[Scope],Mapping_Non_Cyber_Servers[NIST Control]=B65)&amp;CHAR(10)),"")
)</f>
        <v/>
      </c>
    </row>
    <row r="66" spans="1:19" ht="43.5">
      <c r="A66" s="27" t="s">
        <v>23</v>
      </c>
      <c r="B66" s="134" t="s">
        <v>121</v>
      </c>
      <c r="C66" s="27" t="s">
        <v>760</v>
      </c>
      <c r="D66"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66" s="33">
        <f>Dashboard_Per_Control[[#This Row],[Total yearly CO2e emissions (kgCO2e)]]/(1000*Total)</f>
        <v>0</v>
      </c>
      <c r="F66" s="190">
        <f xml:space="preserve">
SUMIF(Mapping_Devices_Workstation_Laptop[NIST Control],B66,Mapping_Devices_Workstation_Laptop[Total emissions (kgC02e)])
+SUMIF(Mapping_Devices_Workstation_Desktop[NIST Control],B66,Mapping_Devices_Workstation_Desktop[Total emissions (kgC02e)])
+SUMIF(Mapping_Devices_Screens[NIST Control],B66,Mapping_Devices_Screens[Total emissions (kgC02e)])+SUMIF(Mapping_Devices_Smartphone[NIST Control],B66,Mapping_Devices_Smartphone[Total emissions (kgC02e)])</f>
        <v>0</v>
      </c>
      <c r="G66" s="191" t="str" cm="1">
        <f t="array" ref="G66">_xlfn.CONCAT(
IFERROR(_xlfn.CONCAT(_xlfn._xlws.FILTER(Mapping_Devices_Workstation_Laptop[Scope],Mapping_Devices_Workstation_Laptop[NIST Control]=B66)&amp;CHAR(10)),""),
IFERROR(_xlfn.CONCAT(_xlfn._xlws.FILTER(#REF!,#REF!=B66)&amp;CHAR(10)),""),
IFERROR(_xlfn.CONCAT(_xlfn._xlws.FILTER(Mapping_Devices_Screens[Scope],Mapping_Devices_Screens[NIST Control]=B66)&amp;CHAR(10)),""),
IFERROR(_xlfn.CONCAT(_xlfn._xlws.FILTER(Mapping_Devices_Smartphone[Scope],Mapping_Devices_Smartphone[NIST Control]=B66)&amp;CHAR(10)),"")
)</f>
        <v/>
      </c>
      <c r="H66" s="190">
        <f>SUMIF(Mapping_Appliance[NIST Control],B66,Mapping_Appliance[Total emissions (kgC02e)])</f>
        <v>0</v>
      </c>
      <c r="I66" s="191" t="str" cm="1">
        <f t="array" ref="I66">IFERROR(_xlfn.CONCAT(_xlfn._xlws.FILTER(Mapping_Appliance[Scope],Mapping_Appliance[NIST Control]=B66)&amp;CHAR(10)),"")</f>
        <v/>
      </c>
      <c r="J66" s="190">
        <f>SUMIF(Mapping_Servers_Backup[NIST Control],B66,Mapping_Servers_Backup[Total emissions (kgC02e)])</f>
        <v>0</v>
      </c>
      <c r="K66" s="191" t="str" cm="1">
        <f t="array" ref="K66">_xlfn.CONCAT(
IFERROR(_xlfn.CONCAT(_xlfn._xlws.FILTER(Mapping_Non_Cyber_Servers[Scope],Mapping_Non_Cyber_Servers[NIST Control]=B66)&amp;CHAR(10)),""),
IFERROR(_xlfn.CONCAT(_xlfn._xlws.FILTER(Mapping_Servers_Backup[Scope],Mapping_Servers_Backup[NIST Control]=B66)&amp;CHAR(10)),""),
)</f>
        <v/>
      </c>
      <c r="L66" s="190">
        <f>SUMIF(Mapping_Solutions_On_Premise[NIST Control],B66,Mapping_Solutions_On_Premise[Total NIST carbon emission (kgCO2e)])
+SUMIF(Mapping_Solutions_Cloud[NIST Control],B66,Mapping_Solutions_Cloud[Total NIST carbon emission (kgCO2e)])</f>
        <v>0</v>
      </c>
      <c r="M66" s="191" t="str" cm="1">
        <f t="array" ref="M66">_xlfn.CONCAT(
IFERROR(_xlfn.CONCAT(_xlfn._xlws.FILTER(Mapping_Solutions_On_Premise[Application name],#REF!=B66)&amp;CHAR(10)),""),
IFERROR(_xlfn.CONCAT(_xlfn._xlws.FILTER(Mapping_Solutions_Cloud[Application name],#REF!=B66)&amp;CHAR(10)),"")
)</f>
        <v/>
      </c>
      <c r="N66" s="190">
        <f>SUMIF(Mapping_Externals_TM[NIST Control],B66,Mapping_Externals_TM[NIST carbon emission (kgCO2e)])
+SUMIF(Mapping_Externals_Fixed_Price[NIST Control],B66,Mapping_Externals_Fixed_Price[NIST carbon emission (kgCO2e)])</f>
        <v>0</v>
      </c>
      <c r="O66" s="191" t="str" cm="1">
        <f t="array" ref="O66">_xlfn.CONCAT(
IFERROR(_xlfn.CONCAT(_xlfn._xlws.FILTER(Mapping_Externals_TM[Service name],#REF!=B66)&amp;CHAR(10)),""),
IFERROR(_xlfn.CONCAT(_xlfn._xlws.FILTER(Mapping_Externals_Fixed_Price[Service name],#REF!=B66)&amp;CHAR(10)),""))</f>
        <v/>
      </c>
      <c r="P66" s="190">
        <f>SUMIF(Mapping_Travel[NIST Control],B66,Mapping_Travel[Total emissions (kgC02e)])</f>
        <v>0</v>
      </c>
      <c r="Q66" s="192" t="str" cm="1">
        <f t="array" ref="Q66">IFERROR(_xlfn.CONCAT(_xlfn._xlws.FILTER(Mapping_Travel[Type of transportation],Mapping_Travel[NIST Control]=B66)&amp;CHAR(10)),"")</f>
        <v/>
      </c>
      <c r="R66" s="190">
        <f>SUMIF(Mapping_Non_Cyber_Workstation_Laptop[NIST Control],B66,Mapping_Non_Cyber_Workstation_Laptop[Total emissions (kgC02e)])
+SUMIF(Mapping_Non_Cyber_Workstation_Desktop[NIST Control],B66,Mapping_Non_Cyber_Workstation_Desktop[Total emissions (kgC02e)])
+SUMIF(Mapping_Non_Cyber_VDI[NIST Control],B66,Mapping_Non_Cyber_VDI[Total emissions (kgC02e)])
+SUMIF(Mapping_Non_Cyber_Servers[NIST Control],B66,Mapping_Non_Cyber_Servers[Total emissions (kgC02e)])</f>
        <v>0</v>
      </c>
      <c r="S66" s="191" t="str" cm="1">
        <f t="array" ref="S66">_xlfn.CONCAT(
IFERROR(_xlfn.CONCAT(_xlfn._xlws.FILTER(Mapping_Non_Cyber_Workstation_Laptop[Scope],Mapping_Non_Cyber_Workstation_Laptop[NIST Control]=B66)&amp;CHAR(10)),""),
IFERROR(_xlfn.CONCAT(_xlfn._xlws.FILTER(Mapping_Non_Cyber_Workstation_Desktop[Scope],Mapping_Non_Cyber_Workstation_Desktop[NIST Control]=B66)&amp;CHAR(10)),""),
IFERROR(_xlfn.CONCAT(_xlfn._xlws.FILTER(Mapping_Non_Cyber_VDI[Scope],Mapping_Non_Cyber_VDI[NIST Control]=B66)&amp;CHAR(10)),""),
IFERROR(_xlfn.CONCAT(_xlfn._xlws.FILTER(Mapping_Non_Cyber_Servers[Scope],Mapping_Non_Cyber_Servers[NIST Control]=B66)&amp;CHAR(10)),"")
)</f>
        <v/>
      </c>
    </row>
    <row r="67" spans="1:19" ht="57.95">
      <c r="A67" s="27" t="s">
        <v>23</v>
      </c>
      <c r="B67" s="134" t="s">
        <v>123</v>
      </c>
      <c r="C67" s="27" t="s">
        <v>761</v>
      </c>
      <c r="D67"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67" s="33">
        <f>Dashboard_Per_Control[[#This Row],[Total yearly CO2e emissions (kgCO2e)]]/(1000*Total)</f>
        <v>0</v>
      </c>
      <c r="F67" s="190">
        <f xml:space="preserve">
SUMIF(Mapping_Devices_Workstation_Laptop[NIST Control],B67,Mapping_Devices_Workstation_Laptop[Total emissions (kgC02e)])
+SUMIF(Mapping_Devices_Workstation_Desktop[NIST Control],B67,Mapping_Devices_Workstation_Desktop[Total emissions (kgC02e)])
+SUMIF(Mapping_Devices_Screens[NIST Control],B67,Mapping_Devices_Screens[Total emissions (kgC02e)])+SUMIF(Mapping_Devices_Smartphone[NIST Control],B67,Mapping_Devices_Smartphone[Total emissions (kgC02e)])</f>
        <v>0</v>
      </c>
      <c r="G67" s="191" t="str" cm="1">
        <f t="array" ref="G67">_xlfn.CONCAT(
IFERROR(_xlfn.CONCAT(_xlfn._xlws.FILTER(Mapping_Devices_Workstation_Laptop[Scope],Mapping_Devices_Workstation_Laptop[NIST Control]=B67)&amp;CHAR(10)),""),
IFERROR(_xlfn.CONCAT(_xlfn._xlws.FILTER(#REF!,#REF!=B67)&amp;CHAR(10)),""),
IFERROR(_xlfn.CONCAT(_xlfn._xlws.FILTER(Mapping_Devices_Screens[Scope],Mapping_Devices_Screens[NIST Control]=B67)&amp;CHAR(10)),""),
IFERROR(_xlfn.CONCAT(_xlfn._xlws.FILTER(Mapping_Devices_Smartphone[Scope],Mapping_Devices_Smartphone[NIST Control]=B67)&amp;CHAR(10)),"")
)</f>
        <v/>
      </c>
      <c r="H67" s="190">
        <f>SUMIF(Mapping_Appliance[NIST Control],B67,Mapping_Appliance[Total emissions (kgC02e)])</f>
        <v>0</v>
      </c>
      <c r="I67" s="191" t="str" cm="1">
        <f t="array" ref="I67">IFERROR(_xlfn.CONCAT(_xlfn._xlws.FILTER(Mapping_Appliance[Scope],Mapping_Appliance[NIST Control]=B67)&amp;CHAR(10)),"")</f>
        <v/>
      </c>
      <c r="J67" s="190">
        <f>SUMIF(Mapping_Servers_Backup[NIST Control],B67,Mapping_Servers_Backup[Total emissions (kgC02e)])</f>
        <v>0</v>
      </c>
      <c r="K67" s="191" t="str" cm="1">
        <f t="array" ref="K67">_xlfn.CONCAT(
IFERROR(_xlfn.CONCAT(_xlfn._xlws.FILTER(Mapping_Non_Cyber_Servers[Scope],Mapping_Non_Cyber_Servers[NIST Control]=B67)&amp;CHAR(10)),""),
IFERROR(_xlfn.CONCAT(_xlfn._xlws.FILTER(Mapping_Servers_Backup[Scope],Mapping_Servers_Backup[NIST Control]=B67)&amp;CHAR(10)),""),
)</f>
        <v/>
      </c>
      <c r="L67" s="190">
        <f>SUMIF(Mapping_Solutions_On_Premise[NIST Control],B67,Mapping_Solutions_On_Premise[Total NIST carbon emission (kgCO2e)])
+SUMIF(Mapping_Solutions_Cloud[NIST Control],B67,Mapping_Solutions_Cloud[Total NIST carbon emission (kgCO2e)])</f>
        <v>0</v>
      </c>
      <c r="M67" s="191" t="str" cm="1">
        <f t="array" ref="M67">_xlfn.CONCAT(
IFERROR(_xlfn.CONCAT(_xlfn._xlws.FILTER(Mapping_Solutions_On_Premise[Application name],#REF!=B67)&amp;CHAR(10)),""),
IFERROR(_xlfn.CONCAT(_xlfn._xlws.FILTER(Mapping_Solutions_Cloud[Application name],#REF!=B67)&amp;CHAR(10)),"")
)</f>
        <v/>
      </c>
      <c r="N67" s="190">
        <f>SUMIF(Mapping_Externals_TM[NIST Control],B67,Mapping_Externals_TM[NIST carbon emission (kgCO2e)])
+SUMIF(Mapping_Externals_Fixed_Price[NIST Control],B67,Mapping_Externals_Fixed_Price[NIST carbon emission (kgCO2e)])</f>
        <v>0</v>
      </c>
      <c r="O67" s="191" t="str" cm="1">
        <f t="array" ref="O67">_xlfn.CONCAT(
IFERROR(_xlfn.CONCAT(_xlfn._xlws.FILTER(Mapping_Externals_TM[Service name],#REF!=B67)&amp;CHAR(10)),""),
IFERROR(_xlfn.CONCAT(_xlfn._xlws.FILTER(Mapping_Externals_Fixed_Price[Service name],#REF!=B67)&amp;CHAR(10)),""))</f>
        <v/>
      </c>
      <c r="P67" s="190">
        <f>SUMIF(Mapping_Travel[NIST Control],B67,Mapping_Travel[Total emissions (kgC02e)])</f>
        <v>0</v>
      </c>
      <c r="Q67" s="192" t="str" cm="1">
        <f t="array" ref="Q67">IFERROR(_xlfn.CONCAT(_xlfn._xlws.FILTER(Mapping_Travel[Type of transportation],Mapping_Travel[NIST Control]=B67)&amp;CHAR(10)),"")</f>
        <v/>
      </c>
      <c r="R67" s="190">
        <f>SUMIF(Mapping_Non_Cyber_Workstation_Laptop[NIST Control],B67,Mapping_Non_Cyber_Workstation_Laptop[Total emissions (kgC02e)])
+SUMIF(Mapping_Non_Cyber_Workstation_Desktop[NIST Control],B67,Mapping_Non_Cyber_Workstation_Desktop[Total emissions (kgC02e)])
+SUMIF(Mapping_Non_Cyber_VDI[NIST Control],B67,Mapping_Non_Cyber_VDI[Total emissions (kgC02e)])
+SUMIF(Mapping_Non_Cyber_Servers[NIST Control],B67,Mapping_Non_Cyber_Servers[Total emissions (kgC02e)])</f>
        <v>0</v>
      </c>
      <c r="S67" s="191" t="str" cm="1">
        <f t="array" ref="S67">_xlfn.CONCAT(
IFERROR(_xlfn.CONCAT(_xlfn._xlws.FILTER(Mapping_Non_Cyber_Workstation_Laptop[Scope],Mapping_Non_Cyber_Workstation_Laptop[NIST Control]=B67)&amp;CHAR(10)),""),
IFERROR(_xlfn.CONCAT(_xlfn._xlws.FILTER(Mapping_Non_Cyber_Workstation_Desktop[Scope],Mapping_Non_Cyber_Workstation_Desktop[NIST Control]=B67)&amp;CHAR(10)),""),
IFERROR(_xlfn.CONCAT(_xlfn._xlws.FILTER(Mapping_Non_Cyber_VDI[Scope],Mapping_Non_Cyber_VDI[NIST Control]=B67)&amp;CHAR(10)),""),
IFERROR(_xlfn.CONCAT(_xlfn._xlws.FILTER(Mapping_Non_Cyber_Servers[Scope],Mapping_Non_Cyber_Servers[NIST Control]=B67)&amp;CHAR(10)),"")
)</f>
        <v/>
      </c>
    </row>
    <row r="68" spans="1:19" ht="29.1">
      <c r="A68" s="27" t="s">
        <v>23</v>
      </c>
      <c r="B68" s="134" t="s">
        <v>125</v>
      </c>
      <c r="C68" s="27" t="s">
        <v>762</v>
      </c>
      <c r="D68"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68" s="33">
        <f>Dashboard_Per_Control[[#This Row],[Total yearly CO2e emissions (kgCO2e)]]/(1000*Total)</f>
        <v>0</v>
      </c>
      <c r="F68" s="190">
        <f xml:space="preserve">
SUMIF(Mapping_Devices_Workstation_Laptop[NIST Control],B68,Mapping_Devices_Workstation_Laptop[Total emissions (kgC02e)])
+SUMIF(Mapping_Devices_Workstation_Desktop[NIST Control],B68,Mapping_Devices_Workstation_Desktop[Total emissions (kgC02e)])
+SUMIF(Mapping_Devices_Screens[NIST Control],B68,Mapping_Devices_Screens[Total emissions (kgC02e)])+SUMIF(Mapping_Devices_Smartphone[NIST Control],B68,Mapping_Devices_Smartphone[Total emissions (kgC02e)])</f>
        <v>0</v>
      </c>
      <c r="G68" s="191" t="str" cm="1">
        <f t="array" ref="G68">_xlfn.CONCAT(
IFERROR(_xlfn.CONCAT(_xlfn._xlws.FILTER(Mapping_Devices_Workstation_Laptop[Scope],Mapping_Devices_Workstation_Laptop[NIST Control]=B68)&amp;CHAR(10)),""),
IFERROR(_xlfn.CONCAT(_xlfn._xlws.FILTER(#REF!,#REF!=B68)&amp;CHAR(10)),""),
IFERROR(_xlfn.CONCAT(_xlfn._xlws.FILTER(Mapping_Devices_Screens[Scope],Mapping_Devices_Screens[NIST Control]=B68)&amp;CHAR(10)),""),
IFERROR(_xlfn.CONCAT(_xlfn._xlws.FILTER(Mapping_Devices_Smartphone[Scope],Mapping_Devices_Smartphone[NIST Control]=B68)&amp;CHAR(10)),"")
)</f>
        <v/>
      </c>
      <c r="H68" s="190">
        <f>SUMIF(Mapping_Appliance[NIST Control],B68,Mapping_Appliance[Total emissions (kgC02e)])</f>
        <v>0</v>
      </c>
      <c r="I68" s="191" t="str" cm="1">
        <f t="array" ref="I68">IFERROR(_xlfn.CONCAT(_xlfn._xlws.FILTER(Mapping_Appliance[Scope],Mapping_Appliance[NIST Control]=B68)&amp;CHAR(10)),"")</f>
        <v/>
      </c>
      <c r="J68" s="190">
        <f>SUMIF(Mapping_Servers_Backup[NIST Control],B68,Mapping_Servers_Backup[Total emissions (kgC02e)])</f>
        <v>0</v>
      </c>
      <c r="K68" s="191" t="str" cm="1">
        <f t="array" ref="K68">_xlfn.CONCAT(
IFERROR(_xlfn.CONCAT(_xlfn._xlws.FILTER(Mapping_Non_Cyber_Servers[Scope],Mapping_Non_Cyber_Servers[NIST Control]=B68)&amp;CHAR(10)),""),
IFERROR(_xlfn.CONCAT(_xlfn._xlws.FILTER(Mapping_Servers_Backup[Scope],Mapping_Servers_Backup[NIST Control]=B68)&amp;CHAR(10)),""),
)</f>
        <v/>
      </c>
      <c r="L68" s="190">
        <f>SUMIF(Mapping_Solutions_On_Premise[NIST Control],B68,Mapping_Solutions_On_Premise[Total NIST carbon emission (kgCO2e)])
+SUMIF(Mapping_Solutions_Cloud[NIST Control],B68,Mapping_Solutions_Cloud[Total NIST carbon emission (kgCO2e)])</f>
        <v>0</v>
      </c>
      <c r="M68" s="191" t="str" cm="1">
        <f t="array" ref="M68">_xlfn.CONCAT(
IFERROR(_xlfn.CONCAT(_xlfn._xlws.FILTER(Mapping_Solutions_On_Premise[Application name],#REF!=B68)&amp;CHAR(10)),""),
IFERROR(_xlfn.CONCAT(_xlfn._xlws.FILTER(Mapping_Solutions_Cloud[Application name],#REF!=B68)&amp;CHAR(10)),"")
)</f>
        <v/>
      </c>
      <c r="N68" s="190">
        <f>SUMIF(Mapping_Externals_TM[NIST Control],B68,Mapping_Externals_TM[NIST carbon emission (kgCO2e)])
+SUMIF(Mapping_Externals_Fixed_Price[NIST Control],B68,Mapping_Externals_Fixed_Price[NIST carbon emission (kgCO2e)])</f>
        <v>0</v>
      </c>
      <c r="O68" s="191" t="str" cm="1">
        <f t="array" ref="O68">_xlfn.CONCAT(
IFERROR(_xlfn.CONCAT(_xlfn._xlws.FILTER(Mapping_Externals_TM[Service name],#REF!=B68)&amp;CHAR(10)),""),
IFERROR(_xlfn.CONCAT(_xlfn._xlws.FILTER(Mapping_Externals_Fixed_Price[Service name],#REF!=B68)&amp;CHAR(10)),""))</f>
        <v/>
      </c>
      <c r="P68" s="190">
        <f>SUMIF(Mapping_Travel[NIST Control],B68,Mapping_Travel[Total emissions (kgC02e)])</f>
        <v>0</v>
      </c>
      <c r="Q68" s="192" t="str" cm="1">
        <f t="array" ref="Q68">IFERROR(_xlfn.CONCAT(_xlfn._xlws.FILTER(Mapping_Travel[Type of transportation],Mapping_Travel[NIST Control]=B68)&amp;CHAR(10)),"")</f>
        <v/>
      </c>
      <c r="R68" s="190">
        <f>SUMIF(Mapping_Non_Cyber_Workstation_Laptop[NIST Control],B68,Mapping_Non_Cyber_Workstation_Laptop[Total emissions (kgC02e)])
+SUMIF(Mapping_Non_Cyber_Workstation_Desktop[NIST Control],B68,Mapping_Non_Cyber_Workstation_Desktop[Total emissions (kgC02e)])
+SUMIF(Mapping_Non_Cyber_VDI[NIST Control],B68,Mapping_Non_Cyber_VDI[Total emissions (kgC02e)])
+SUMIF(Mapping_Non_Cyber_Servers[NIST Control],B68,Mapping_Non_Cyber_Servers[Total emissions (kgC02e)])</f>
        <v>0</v>
      </c>
      <c r="S68" s="191" t="str" cm="1">
        <f t="array" ref="S68">_xlfn.CONCAT(
IFERROR(_xlfn.CONCAT(_xlfn._xlws.FILTER(Mapping_Non_Cyber_Workstation_Laptop[Scope],Mapping_Non_Cyber_Workstation_Laptop[NIST Control]=B68)&amp;CHAR(10)),""),
IFERROR(_xlfn.CONCAT(_xlfn._xlws.FILTER(Mapping_Non_Cyber_Workstation_Desktop[Scope],Mapping_Non_Cyber_Workstation_Desktop[NIST Control]=B68)&amp;CHAR(10)),""),
IFERROR(_xlfn.CONCAT(_xlfn._xlws.FILTER(Mapping_Non_Cyber_VDI[Scope],Mapping_Non_Cyber_VDI[NIST Control]=B68)&amp;CHAR(10)),""),
IFERROR(_xlfn.CONCAT(_xlfn._xlws.FILTER(Mapping_Non_Cyber_Servers[Scope],Mapping_Non_Cyber_Servers[NIST Control]=B68)&amp;CHAR(10)),"")
)</f>
        <v/>
      </c>
    </row>
    <row r="69" spans="1:19" ht="57.95">
      <c r="A69" s="27" t="s">
        <v>23</v>
      </c>
      <c r="B69" s="134" t="s">
        <v>127</v>
      </c>
      <c r="C69" s="27" t="s">
        <v>763</v>
      </c>
      <c r="D69"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18493.7016</v>
      </c>
      <c r="E69" s="33">
        <f>Dashboard_Per_Control[[#This Row],[Total yearly CO2e emissions (kgCO2e)]]/(1000*Total)</f>
        <v>3.4652007589881825E-3</v>
      </c>
      <c r="F69" s="190">
        <f xml:space="preserve">
SUMIF(Mapping_Devices_Workstation_Laptop[NIST Control],B69,Mapping_Devices_Workstation_Laptop[Total emissions (kgC02e)])
+SUMIF(Mapping_Devices_Workstation_Desktop[NIST Control],B69,Mapping_Devices_Workstation_Desktop[Total emissions (kgC02e)])
+SUMIF(Mapping_Devices_Screens[NIST Control],B69,Mapping_Devices_Screens[Total emissions (kgC02e)])+SUMIF(Mapping_Devices_Smartphone[NIST Control],B69,Mapping_Devices_Smartphone[Total emissions (kgC02e)])</f>
        <v>0</v>
      </c>
      <c r="G69" s="191" t="str" cm="1">
        <f t="array" ref="G69">_xlfn.CONCAT(
IFERROR(_xlfn.CONCAT(_xlfn._xlws.FILTER(Mapping_Devices_Workstation_Laptop[Scope],Mapping_Devices_Workstation_Laptop[NIST Control]=B69)&amp;CHAR(10)),""),
IFERROR(_xlfn.CONCAT(_xlfn._xlws.FILTER(#REF!,#REF!=B69)&amp;CHAR(10)),""),
IFERROR(_xlfn.CONCAT(_xlfn._xlws.FILTER(Mapping_Devices_Screens[Scope],Mapping_Devices_Screens[NIST Control]=B69)&amp;CHAR(10)),""),
IFERROR(_xlfn.CONCAT(_xlfn._xlws.FILTER(Mapping_Devices_Smartphone[Scope],Mapping_Devices_Smartphone[NIST Control]=B69)&amp;CHAR(10)),"")
)</f>
        <v/>
      </c>
      <c r="H69" s="190">
        <f>SUMIF(Mapping_Appliance[NIST Control],B69,Mapping_Appliance[Total emissions (kgC02e)])</f>
        <v>18493.7016</v>
      </c>
      <c r="I69" s="191" t="str" cm="1">
        <f t="array" ref="I69">IFERROR(_xlfn.CONCAT(_xlfn._xlws.FILTER(Mapping_Appliance[Scope],Mapping_Appliance[NIST Control]=B69)&amp;CHAR(10)),"")</f>
        <v xml:space="preserve">Proxy/Reverse-proxy in your entire company
</v>
      </c>
      <c r="J69" s="190">
        <f>SUMIF(Mapping_Servers_Backup[NIST Control],B69,Mapping_Servers_Backup[Total emissions (kgC02e)])</f>
        <v>0</v>
      </c>
      <c r="K69" s="191" t="str" cm="1">
        <f t="array" ref="K69">_xlfn.CONCAT(
IFERROR(_xlfn.CONCAT(_xlfn._xlws.FILTER(Mapping_Non_Cyber_Servers[Scope],Mapping_Non_Cyber_Servers[NIST Control]=B69)&amp;CHAR(10)),""),
IFERROR(_xlfn.CONCAT(_xlfn._xlws.FILTER(Mapping_Servers_Backup[Scope],Mapping_Servers_Backup[NIST Control]=B69)&amp;CHAR(10)),""),
)</f>
        <v/>
      </c>
      <c r="L69" s="190">
        <f>SUMIF(Mapping_Solutions_On_Premise[NIST Control],B69,Mapping_Solutions_On_Premise[Total NIST carbon emission (kgCO2e)])
+SUMIF(Mapping_Solutions_Cloud[NIST Control],B69,Mapping_Solutions_Cloud[Total NIST carbon emission (kgCO2e)])</f>
        <v>0</v>
      </c>
      <c r="M69" s="191" t="str" cm="1">
        <f t="array" ref="M69">_xlfn.CONCAT(
IFERROR(_xlfn.CONCAT(_xlfn._xlws.FILTER(Mapping_Solutions_On_Premise[Application name],#REF!=B69)&amp;CHAR(10)),""),
IFERROR(_xlfn.CONCAT(_xlfn._xlws.FILTER(Mapping_Solutions_Cloud[Application name],#REF!=B69)&amp;CHAR(10)),"")
)</f>
        <v/>
      </c>
      <c r="N69" s="190">
        <f>SUMIF(Mapping_Externals_TM[NIST Control],B69,Mapping_Externals_TM[NIST carbon emission (kgCO2e)])
+SUMIF(Mapping_Externals_Fixed_Price[NIST Control],B69,Mapping_Externals_Fixed_Price[NIST carbon emission (kgCO2e)])</f>
        <v>0</v>
      </c>
      <c r="O69" s="191" t="str" cm="1">
        <f t="array" ref="O69">_xlfn.CONCAT(
IFERROR(_xlfn.CONCAT(_xlfn._xlws.FILTER(Mapping_Externals_TM[Service name],#REF!=B69)&amp;CHAR(10)),""),
IFERROR(_xlfn.CONCAT(_xlfn._xlws.FILTER(Mapping_Externals_Fixed_Price[Service name],#REF!=B69)&amp;CHAR(10)),""))</f>
        <v/>
      </c>
      <c r="P69" s="190">
        <f>SUMIF(Mapping_Travel[NIST Control],B69,Mapping_Travel[Total emissions (kgC02e)])</f>
        <v>0</v>
      </c>
      <c r="Q69" s="192" t="str" cm="1">
        <f t="array" ref="Q69">IFERROR(_xlfn.CONCAT(_xlfn._xlws.FILTER(Mapping_Travel[Type of transportation],Mapping_Travel[NIST Control]=B69)&amp;CHAR(10)),"")</f>
        <v/>
      </c>
      <c r="R69" s="190">
        <f>SUMIF(Mapping_Non_Cyber_Workstation_Laptop[NIST Control],B69,Mapping_Non_Cyber_Workstation_Laptop[Total emissions (kgC02e)])
+SUMIF(Mapping_Non_Cyber_Workstation_Desktop[NIST Control],B69,Mapping_Non_Cyber_Workstation_Desktop[Total emissions (kgC02e)])
+SUMIF(Mapping_Non_Cyber_VDI[NIST Control],B69,Mapping_Non_Cyber_VDI[Total emissions (kgC02e)])
+SUMIF(Mapping_Non_Cyber_Servers[NIST Control],B69,Mapping_Non_Cyber_Servers[Total emissions (kgC02e)])</f>
        <v>0</v>
      </c>
      <c r="S69" s="191" t="str" cm="1">
        <f t="array" ref="S69">_xlfn.CONCAT(
IFERROR(_xlfn.CONCAT(_xlfn._xlws.FILTER(Mapping_Non_Cyber_Workstation_Laptop[Scope],Mapping_Non_Cyber_Workstation_Laptop[NIST Control]=B69)&amp;CHAR(10)),""),
IFERROR(_xlfn.CONCAT(_xlfn._xlws.FILTER(Mapping_Non_Cyber_Workstation_Desktop[Scope],Mapping_Non_Cyber_Workstation_Desktop[NIST Control]=B69)&amp;CHAR(10)),""),
IFERROR(_xlfn.CONCAT(_xlfn._xlws.FILTER(Mapping_Non_Cyber_VDI[Scope],Mapping_Non_Cyber_VDI[NIST Control]=B69)&amp;CHAR(10)),""),
IFERROR(_xlfn.CONCAT(_xlfn._xlws.FILTER(Mapping_Non_Cyber_Servers[Scope],Mapping_Non_Cyber_Servers[NIST Control]=B69)&amp;CHAR(10)),"")
)</f>
        <v/>
      </c>
    </row>
    <row r="70" spans="1:19" ht="29.1">
      <c r="A70" s="27" t="s">
        <v>23</v>
      </c>
      <c r="B70" s="134" t="s">
        <v>129</v>
      </c>
      <c r="C70" s="27" t="s">
        <v>130</v>
      </c>
      <c r="D70"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0" s="33">
        <f>Dashboard_Per_Control[[#This Row],[Total yearly CO2e emissions (kgCO2e)]]/(1000*Total)</f>
        <v>0</v>
      </c>
      <c r="F70" s="190">
        <f xml:space="preserve">
SUMIF(Mapping_Devices_Workstation_Laptop[NIST Control],B70,Mapping_Devices_Workstation_Laptop[Total emissions (kgC02e)])
+SUMIF(Mapping_Devices_Workstation_Desktop[NIST Control],B70,Mapping_Devices_Workstation_Desktop[Total emissions (kgC02e)])
+SUMIF(Mapping_Devices_Screens[NIST Control],B70,Mapping_Devices_Screens[Total emissions (kgC02e)])+SUMIF(Mapping_Devices_Smartphone[NIST Control],B70,Mapping_Devices_Smartphone[Total emissions (kgC02e)])</f>
        <v>0</v>
      </c>
      <c r="G70" s="191" t="str" cm="1">
        <f t="array" ref="G70">_xlfn.CONCAT(
IFERROR(_xlfn.CONCAT(_xlfn._xlws.FILTER(Mapping_Devices_Workstation_Laptop[Scope],Mapping_Devices_Workstation_Laptop[NIST Control]=B70)&amp;CHAR(10)),""),
IFERROR(_xlfn.CONCAT(_xlfn._xlws.FILTER(#REF!,#REF!=B70)&amp;CHAR(10)),""),
IFERROR(_xlfn.CONCAT(_xlfn._xlws.FILTER(Mapping_Devices_Screens[Scope],Mapping_Devices_Screens[NIST Control]=B70)&amp;CHAR(10)),""),
IFERROR(_xlfn.CONCAT(_xlfn._xlws.FILTER(Mapping_Devices_Smartphone[Scope],Mapping_Devices_Smartphone[NIST Control]=B70)&amp;CHAR(10)),"")
)</f>
        <v/>
      </c>
      <c r="H70" s="190">
        <f>SUMIF(Mapping_Appliance[NIST Control],B70,Mapping_Appliance[Total emissions (kgC02e)])</f>
        <v>0</v>
      </c>
      <c r="I70" s="191" t="str" cm="1">
        <f t="array" ref="I70">IFERROR(_xlfn.CONCAT(_xlfn._xlws.FILTER(Mapping_Appliance[Scope],Mapping_Appliance[NIST Control]=B70)&amp;CHAR(10)),"")</f>
        <v/>
      </c>
      <c r="J70" s="190">
        <f>SUMIF(Mapping_Servers_Backup[NIST Control],B70,Mapping_Servers_Backup[Total emissions (kgC02e)])</f>
        <v>0</v>
      </c>
      <c r="K70" s="191" t="str" cm="1">
        <f t="array" ref="K70">_xlfn.CONCAT(
IFERROR(_xlfn.CONCAT(_xlfn._xlws.FILTER(Mapping_Non_Cyber_Servers[Scope],Mapping_Non_Cyber_Servers[NIST Control]=B70)&amp;CHAR(10)),""),
IFERROR(_xlfn.CONCAT(_xlfn._xlws.FILTER(Mapping_Servers_Backup[Scope],Mapping_Servers_Backup[NIST Control]=B70)&amp;CHAR(10)),""),
)</f>
        <v/>
      </c>
      <c r="L70" s="190">
        <f>SUMIF(Mapping_Solutions_On_Premise[NIST Control],B70,Mapping_Solutions_On_Premise[Total NIST carbon emission (kgCO2e)])
+SUMIF(Mapping_Solutions_Cloud[NIST Control],B70,Mapping_Solutions_Cloud[Total NIST carbon emission (kgCO2e)])</f>
        <v>0</v>
      </c>
      <c r="M70" s="191" t="str" cm="1">
        <f t="array" ref="M70">_xlfn.CONCAT(
IFERROR(_xlfn.CONCAT(_xlfn._xlws.FILTER(Mapping_Solutions_On_Premise[Application name],#REF!=B70)&amp;CHAR(10)),""),
IFERROR(_xlfn.CONCAT(_xlfn._xlws.FILTER(Mapping_Solutions_Cloud[Application name],#REF!=B70)&amp;CHAR(10)),"")
)</f>
        <v/>
      </c>
      <c r="N70" s="190">
        <f>SUMIF(Mapping_Externals_TM[NIST Control],B70,Mapping_Externals_TM[NIST carbon emission (kgCO2e)])
+SUMIF(Mapping_Externals_Fixed_Price[NIST Control],B70,Mapping_Externals_Fixed_Price[NIST carbon emission (kgCO2e)])</f>
        <v>0</v>
      </c>
      <c r="O70" s="191" t="str" cm="1">
        <f t="array" ref="O70">_xlfn.CONCAT(
IFERROR(_xlfn.CONCAT(_xlfn._xlws.FILTER(Mapping_Externals_TM[Service name],#REF!=B70)&amp;CHAR(10)),""),
IFERROR(_xlfn.CONCAT(_xlfn._xlws.FILTER(Mapping_Externals_Fixed_Price[Service name],#REF!=B70)&amp;CHAR(10)),""))</f>
        <v/>
      </c>
      <c r="P70" s="190">
        <f>SUMIF(Mapping_Travel[NIST Control],B70,Mapping_Travel[Total emissions (kgC02e)])</f>
        <v>0</v>
      </c>
      <c r="Q70" s="192" t="str" cm="1">
        <f t="array" ref="Q70">IFERROR(_xlfn.CONCAT(_xlfn._xlws.FILTER(Mapping_Travel[Type of transportation],Mapping_Travel[NIST Control]=B70)&amp;CHAR(10)),"")</f>
        <v/>
      </c>
      <c r="R70" s="190">
        <f>SUMIF(Mapping_Non_Cyber_Workstation_Laptop[NIST Control],B70,Mapping_Non_Cyber_Workstation_Laptop[Total emissions (kgC02e)])
+SUMIF(Mapping_Non_Cyber_Workstation_Desktop[NIST Control],B70,Mapping_Non_Cyber_Workstation_Desktop[Total emissions (kgC02e)])
+SUMIF(Mapping_Non_Cyber_VDI[NIST Control],B70,Mapping_Non_Cyber_VDI[Total emissions (kgC02e)])
+SUMIF(Mapping_Non_Cyber_Servers[NIST Control],B70,Mapping_Non_Cyber_Servers[Total emissions (kgC02e)])</f>
        <v>0</v>
      </c>
      <c r="S70" s="191" t="str" cm="1">
        <f t="array" ref="S70">_xlfn.CONCAT(
IFERROR(_xlfn.CONCAT(_xlfn._xlws.FILTER(Mapping_Non_Cyber_Workstation_Laptop[Scope],Mapping_Non_Cyber_Workstation_Laptop[NIST Control]=B70)&amp;CHAR(10)),""),
IFERROR(_xlfn.CONCAT(_xlfn._xlws.FILTER(Mapping_Non_Cyber_Workstation_Desktop[Scope],Mapping_Non_Cyber_Workstation_Desktop[NIST Control]=B70)&amp;CHAR(10)),""),
IFERROR(_xlfn.CONCAT(_xlfn._xlws.FILTER(Mapping_Non_Cyber_VDI[Scope],Mapping_Non_Cyber_VDI[NIST Control]=B70)&amp;CHAR(10)),""),
IFERROR(_xlfn.CONCAT(_xlfn._xlws.FILTER(Mapping_Non_Cyber_Servers[Scope],Mapping_Non_Cyber_Servers[NIST Control]=B70)&amp;CHAR(10)),"")
)</f>
        <v/>
      </c>
    </row>
    <row r="71" spans="1:19" ht="29.1">
      <c r="A71" s="27" t="s">
        <v>23</v>
      </c>
      <c r="B71" s="134" t="s">
        <v>131</v>
      </c>
      <c r="C71" s="27" t="s">
        <v>764</v>
      </c>
      <c r="D71"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1" s="33">
        <f>Dashboard_Per_Control[[#This Row],[Total yearly CO2e emissions (kgCO2e)]]/(1000*Total)</f>
        <v>0</v>
      </c>
      <c r="F71" s="190">
        <f xml:space="preserve">
SUMIF(Mapping_Devices_Workstation_Laptop[NIST Control],B71,Mapping_Devices_Workstation_Laptop[Total emissions (kgC02e)])
+SUMIF(Mapping_Devices_Workstation_Desktop[NIST Control],B71,Mapping_Devices_Workstation_Desktop[Total emissions (kgC02e)])
+SUMIF(Mapping_Devices_Screens[NIST Control],B71,Mapping_Devices_Screens[Total emissions (kgC02e)])+SUMIF(Mapping_Devices_Smartphone[NIST Control],B71,Mapping_Devices_Smartphone[Total emissions (kgC02e)])</f>
        <v>0</v>
      </c>
      <c r="G71" s="191" t="str" cm="1">
        <f t="array" ref="G71">_xlfn.CONCAT(
IFERROR(_xlfn.CONCAT(_xlfn._xlws.FILTER(Mapping_Devices_Workstation_Laptop[Scope],Mapping_Devices_Workstation_Laptop[NIST Control]=B71)&amp;CHAR(10)),""),
IFERROR(_xlfn.CONCAT(_xlfn._xlws.FILTER(#REF!,#REF!=B71)&amp;CHAR(10)),""),
IFERROR(_xlfn.CONCAT(_xlfn._xlws.FILTER(Mapping_Devices_Screens[Scope],Mapping_Devices_Screens[NIST Control]=B71)&amp;CHAR(10)),""),
IFERROR(_xlfn.CONCAT(_xlfn._xlws.FILTER(Mapping_Devices_Smartphone[Scope],Mapping_Devices_Smartphone[NIST Control]=B71)&amp;CHAR(10)),"")
)</f>
        <v/>
      </c>
      <c r="H71" s="190">
        <f>SUMIF(Mapping_Appliance[NIST Control],B71,Mapping_Appliance[Total emissions (kgC02e)])</f>
        <v>0</v>
      </c>
      <c r="I71" s="191" t="str" cm="1">
        <f t="array" ref="I71">IFERROR(_xlfn.CONCAT(_xlfn._xlws.FILTER(Mapping_Appliance[Scope],Mapping_Appliance[NIST Control]=B71)&amp;CHAR(10)),"")</f>
        <v/>
      </c>
      <c r="J71" s="190">
        <f>SUMIF(Mapping_Servers_Backup[NIST Control],B71,Mapping_Servers_Backup[Total emissions (kgC02e)])</f>
        <v>0</v>
      </c>
      <c r="K71" s="191" t="str" cm="1">
        <f t="array" ref="K71">_xlfn.CONCAT(
IFERROR(_xlfn.CONCAT(_xlfn._xlws.FILTER(Mapping_Non_Cyber_Servers[Scope],Mapping_Non_Cyber_Servers[NIST Control]=B71)&amp;CHAR(10)),""),
IFERROR(_xlfn.CONCAT(_xlfn._xlws.FILTER(Mapping_Servers_Backup[Scope],Mapping_Servers_Backup[NIST Control]=B71)&amp;CHAR(10)),""),
)</f>
        <v/>
      </c>
      <c r="L71" s="190">
        <f>SUMIF(Mapping_Solutions_On_Premise[NIST Control],B71,Mapping_Solutions_On_Premise[Total NIST carbon emission (kgCO2e)])
+SUMIF(Mapping_Solutions_Cloud[NIST Control],B71,Mapping_Solutions_Cloud[Total NIST carbon emission (kgCO2e)])</f>
        <v>0</v>
      </c>
      <c r="M71" s="191" t="str" cm="1">
        <f t="array" ref="M71">_xlfn.CONCAT(
IFERROR(_xlfn.CONCAT(_xlfn._xlws.FILTER(Mapping_Solutions_On_Premise[Application name],#REF!=B71)&amp;CHAR(10)),""),
IFERROR(_xlfn.CONCAT(_xlfn._xlws.FILTER(Mapping_Solutions_Cloud[Application name],#REF!=B71)&amp;CHAR(10)),"")
)</f>
        <v/>
      </c>
      <c r="N71" s="190">
        <f>SUMIF(Mapping_Externals_TM[NIST Control],B71,Mapping_Externals_TM[NIST carbon emission (kgCO2e)])
+SUMIF(Mapping_Externals_Fixed_Price[NIST Control],B71,Mapping_Externals_Fixed_Price[NIST carbon emission (kgCO2e)])</f>
        <v>0</v>
      </c>
      <c r="O71" s="191" t="str" cm="1">
        <f t="array" ref="O71">_xlfn.CONCAT(
IFERROR(_xlfn.CONCAT(_xlfn._xlws.FILTER(Mapping_Externals_TM[Service name],#REF!=B71)&amp;CHAR(10)),""),
IFERROR(_xlfn.CONCAT(_xlfn._xlws.FILTER(Mapping_Externals_Fixed_Price[Service name],#REF!=B71)&amp;CHAR(10)),""))</f>
        <v/>
      </c>
      <c r="P71" s="190">
        <f>SUMIF(Mapping_Travel[NIST Control],B71,Mapping_Travel[Total emissions (kgC02e)])</f>
        <v>0</v>
      </c>
      <c r="Q71" s="192" t="str" cm="1">
        <f t="array" ref="Q71">IFERROR(_xlfn.CONCAT(_xlfn._xlws.FILTER(Mapping_Travel[Type of transportation],Mapping_Travel[NIST Control]=B71)&amp;CHAR(10)),"")</f>
        <v/>
      </c>
      <c r="R71" s="190">
        <f>SUMIF(Mapping_Non_Cyber_Workstation_Laptop[NIST Control],B71,Mapping_Non_Cyber_Workstation_Laptop[Total emissions (kgC02e)])
+SUMIF(Mapping_Non_Cyber_Workstation_Desktop[NIST Control],B71,Mapping_Non_Cyber_Workstation_Desktop[Total emissions (kgC02e)])
+SUMIF(Mapping_Non_Cyber_VDI[NIST Control],B71,Mapping_Non_Cyber_VDI[Total emissions (kgC02e)])
+SUMIF(Mapping_Non_Cyber_Servers[NIST Control],B71,Mapping_Non_Cyber_Servers[Total emissions (kgC02e)])</f>
        <v>0</v>
      </c>
      <c r="S71" s="191" t="str" cm="1">
        <f t="array" ref="S71">_xlfn.CONCAT(
IFERROR(_xlfn.CONCAT(_xlfn._xlws.FILTER(Mapping_Non_Cyber_Workstation_Laptop[Scope],Mapping_Non_Cyber_Workstation_Laptop[NIST Control]=B71)&amp;CHAR(10)),""),
IFERROR(_xlfn.CONCAT(_xlfn._xlws.FILTER(Mapping_Non_Cyber_Workstation_Desktop[Scope],Mapping_Non_Cyber_Workstation_Desktop[NIST Control]=B71)&amp;CHAR(10)),""),
IFERROR(_xlfn.CONCAT(_xlfn._xlws.FILTER(Mapping_Non_Cyber_VDI[Scope],Mapping_Non_Cyber_VDI[NIST Control]=B71)&amp;CHAR(10)),""),
IFERROR(_xlfn.CONCAT(_xlfn._xlws.FILTER(Mapping_Non_Cyber_Servers[Scope],Mapping_Non_Cyber_Servers[NIST Control]=B71)&amp;CHAR(10)),"")
)</f>
        <v/>
      </c>
    </row>
    <row r="72" spans="1:19" ht="57.95">
      <c r="A72" s="27" t="s">
        <v>23</v>
      </c>
      <c r="B72" s="134" t="s">
        <v>133</v>
      </c>
      <c r="C72" s="27" t="s">
        <v>765</v>
      </c>
      <c r="D72"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2" s="33">
        <f>Dashboard_Per_Control[[#This Row],[Total yearly CO2e emissions (kgCO2e)]]/(1000*Total)</f>
        <v>0</v>
      </c>
      <c r="F72" s="190">
        <f xml:space="preserve">
SUMIF(Mapping_Devices_Workstation_Laptop[NIST Control],B72,Mapping_Devices_Workstation_Laptop[Total emissions (kgC02e)])
+SUMIF(Mapping_Devices_Workstation_Desktop[NIST Control],B72,Mapping_Devices_Workstation_Desktop[Total emissions (kgC02e)])
+SUMIF(Mapping_Devices_Screens[NIST Control],B72,Mapping_Devices_Screens[Total emissions (kgC02e)])+SUMIF(Mapping_Devices_Smartphone[NIST Control],B72,Mapping_Devices_Smartphone[Total emissions (kgC02e)])</f>
        <v>0</v>
      </c>
      <c r="G72" s="191" t="str" cm="1">
        <f t="array" ref="G72">_xlfn.CONCAT(
IFERROR(_xlfn.CONCAT(_xlfn._xlws.FILTER(Mapping_Devices_Workstation_Laptop[Scope],Mapping_Devices_Workstation_Laptop[NIST Control]=B72)&amp;CHAR(10)),""),
IFERROR(_xlfn.CONCAT(_xlfn._xlws.FILTER(#REF!,#REF!=B72)&amp;CHAR(10)),""),
IFERROR(_xlfn.CONCAT(_xlfn._xlws.FILTER(Mapping_Devices_Screens[Scope],Mapping_Devices_Screens[NIST Control]=B72)&amp;CHAR(10)),""),
IFERROR(_xlfn.CONCAT(_xlfn._xlws.FILTER(Mapping_Devices_Smartphone[Scope],Mapping_Devices_Smartphone[NIST Control]=B72)&amp;CHAR(10)),"")
)</f>
        <v/>
      </c>
      <c r="H72" s="190">
        <f>SUMIF(Mapping_Appliance[NIST Control],B72,Mapping_Appliance[Total emissions (kgC02e)])</f>
        <v>0</v>
      </c>
      <c r="I72" s="191" t="str" cm="1">
        <f t="array" ref="I72">IFERROR(_xlfn.CONCAT(_xlfn._xlws.FILTER(Mapping_Appliance[Scope],Mapping_Appliance[NIST Control]=B72)&amp;CHAR(10)),"")</f>
        <v/>
      </c>
      <c r="J72" s="190">
        <f>SUMIF(Mapping_Servers_Backup[NIST Control],B72,Mapping_Servers_Backup[Total emissions (kgC02e)])</f>
        <v>0</v>
      </c>
      <c r="K72" s="191" t="str" cm="1">
        <f t="array" ref="K72">_xlfn.CONCAT(
IFERROR(_xlfn.CONCAT(_xlfn._xlws.FILTER(Mapping_Non_Cyber_Servers[Scope],Mapping_Non_Cyber_Servers[NIST Control]=B72)&amp;CHAR(10)),""),
IFERROR(_xlfn.CONCAT(_xlfn._xlws.FILTER(Mapping_Servers_Backup[Scope],Mapping_Servers_Backup[NIST Control]=B72)&amp;CHAR(10)),""),
)</f>
        <v/>
      </c>
      <c r="L72" s="190">
        <f>SUMIF(Mapping_Solutions_On_Premise[NIST Control],B72,Mapping_Solutions_On_Premise[Total NIST carbon emission (kgCO2e)])
+SUMIF(Mapping_Solutions_Cloud[NIST Control],B72,Mapping_Solutions_Cloud[Total NIST carbon emission (kgCO2e)])</f>
        <v>0</v>
      </c>
      <c r="M72" s="191" t="str" cm="1">
        <f t="array" ref="M72">_xlfn.CONCAT(
IFERROR(_xlfn.CONCAT(_xlfn._xlws.FILTER(Mapping_Solutions_On_Premise[Application name],#REF!=B72)&amp;CHAR(10)),""),
IFERROR(_xlfn.CONCAT(_xlfn._xlws.FILTER(Mapping_Solutions_Cloud[Application name],#REF!=B72)&amp;CHAR(10)),"")
)</f>
        <v/>
      </c>
      <c r="N72" s="190">
        <f>SUMIF(Mapping_Externals_TM[NIST Control],B72,Mapping_Externals_TM[NIST carbon emission (kgCO2e)])
+SUMIF(Mapping_Externals_Fixed_Price[NIST Control],B72,Mapping_Externals_Fixed_Price[NIST carbon emission (kgCO2e)])</f>
        <v>0</v>
      </c>
      <c r="O72" s="191" t="str" cm="1">
        <f t="array" ref="O72">_xlfn.CONCAT(
IFERROR(_xlfn.CONCAT(_xlfn._xlws.FILTER(Mapping_Externals_TM[Service name],#REF!=B72)&amp;CHAR(10)),""),
IFERROR(_xlfn.CONCAT(_xlfn._xlws.FILTER(Mapping_Externals_Fixed_Price[Service name],#REF!=B72)&amp;CHAR(10)),""))</f>
        <v/>
      </c>
      <c r="P72" s="190">
        <f>SUMIF(Mapping_Travel[NIST Control],B72,Mapping_Travel[Total emissions (kgC02e)])</f>
        <v>0</v>
      </c>
      <c r="Q72" s="192" t="str" cm="1">
        <f t="array" ref="Q72">IFERROR(_xlfn.CONCAT(_xlfn._xlws.FILTER(Mapping_Travel[Type of transportation],Mapping_Travel[NIST Control]=B72)&amp;CHAR(10)),"")</f>
        <v/>
      </c>
      <c r="R72" s="190">
        <f>SUMIF(Mapping_Non_Cyber_Workstation_Laptop[NIST Control],B72,Mapping_Non_Cyber_Workstation_Laptop[Total emissions (kgC02e)])
+SUMIF(Mapping_Non_Cyber_Workstation_Desktop[NIST Control],B72,Mapping_Non_Cyber_Workstation_Desktop[Total emissions (kgC02e)])
+SUMIF(Mapping_Non_Cyber_VDI[NIST Control],B72,Mapping_Non_Cyber_VDI[Total emissions (kgC02e)])
+SUMIF(Mapping_Non_Cyber_Servers[NIST Control],B72,Mapping_Non_Cyber_Servers[Total emissions (kgC02e)])</f>
        <v>0</v>
      </c>
      <c r="S72" s="191" t="str" cm="1">
        <f t="array" ref="S72">_xlfn.CONCAT(
IFERROR(_xlfn.CONCAT(_xlfn._xlws.FILTER(Mapping_Non_Cyber_Workstation_Laptop[Scope],Mapping_Non_Cyber_Workstation_Laptop[NIST Control]=B72)&amp;CHAR(10)),""),
IFERROR(_xlfn.CONCAT(_xlfn._xlws.FILTER(Mapping_Non_Cyber_Workstation_Desktop[Scope],Mapping_Non_Cyber_Workstation_Desktop[NIST Control]=B72)&amp;CHAR(10)),""),
IFERROR(_xlfn.CONCAT(_xlfn._xlws.FILTER(Mapping_Non_Cyber_VDI[Scope],Mapping_Non_Cyber_VDI[NIST Control]=B72)&amp;CHAR(10)),""),
IFERROR(_xlfn.CONCAT(_xlfn._xlws.FILTER(Mapping_Non_Cyber_Servers[Scope],Mapping_Non_Cyber_Servers[NIST Control]=B72)&amp;CHAR(10)),"")
)</f>
        <v/>
      </c>
    </row>
    <row r="73" spans="1:19" ht="43.5">
      <c r="A73" s="27" t="s">
        <v>23</v>
      </c>
      <c r="B73" s="134" t="s">
        <v>135</v>
      </c>
      <c r="C73" s="27" t="s">
        <v>766</v>
      </c>
      <c r="D73"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3" s="33">
        <f>Dashboard_Per_Control[[#This Row],[Total yearly CO2e emissions (kgCO2e)]]/(1000*Total)</f>
        <v>0</v>
      </c>
      <c r="F73" s="190">
        <f xml:space="preserve">
SUMIF(Mapping_Devices_Workstation_Laptop[NIST Control],B73,Mapping_Devices_Workstation_Laptop[Total emissions (kgC02e)])
+SUMIF(Mapping_Devices_Workstation_Desktop[NIST Control],B73,Mapping_Devices_Workstation_Desktop[Total emissions (kgC02e)])
+SUMIF(Mapping_Devices_Screens[NIST Control],B73,Mapping_Devices_Screens[Total emissions (kgC02e)])+SUMIF(Mapping_Devices_Smartphone[NIST Control],B73,Mapping_Devices_Smartphone[Total emissions (kgC02e)])</f>
        <v>0</v>
      </c>
      <c r="G73" s="191" t="str" cm="1">
        <f t="array" ref="G73">_xlfn.CONCAT(
IFERROR(_xlfn.CONCAT(_xlfn._xlws.FILTER(Mapping_Devices_Workstation_Laptop[Scope],Mapping_Devices_Workstation_Laptop[NIST Control]=B73)&amp;CHAR(10)),""),
IFERROR(_xlfn.CONCAT(_xlfn._xlws.FILTER(#REF!,#REF!=B73)&amp;CHAR(10)),""),
IFERROR(_xlfn.CONCAT(_xlfn._xlws.FILTER(Mapping_Devices_Screens[Scope],Mapping_Devices_Screens[NIST Control]=B73)&amp;CHAR(10)),""),
IFERROR(_xlfn.CONCAT(_xlfn._xlws.FILTER(Mapping_Devices_Smartphone[Scope],Mapping_Devices_Smartphone[NIST Control]=B73)&amp;CHAR(10)),"")
)</f>
        <v/>
      </c>
      <c r="H73" s="190">
        <f>SUMIF(Mapping_Appliance[NIST Control],B73,Mapping_Appliance[Total emissions (kgC02e)])</f>
        <v>0</v>
      </c>
      <c r="I73" s="191" t="str" cm="1">
        <f t="array" ref="I73">IFERROR(_xlfn.CONCAT(_xlfn._xlws.FILTER(Mapping_Appliance[Scope],Mapping_Appliance[NIST Control]=B73)&amp;CHAR(10)),"")</f>
        <v/>
      </c>
      <c r="J73" s="190">
        <f>SUMIF(Mapping_Servers_Backup[NIST Control],B73,Mapping_Servers_Backup[Total emissions (kgC02e)])</f>
        <v>0</v>
      </c>
      <c r="K73" s="191" t="str" cm="1">
        <f t="array" ref="K73">_xlfn.CONCAT(
IFERROR(_xlfn.CONCAT(_xlfn._xlws.FILTER(Mapping_Non_Cyber_Servers[Scope],Mapping_Non_Cyber_Servers[NIST Control]=B73)&amp;CHAR(10)),""),
IFERROR(_xlfn.CONCAT(_xlfn._xlws.FILTER(Mapping_Servers_Backup[Scope],Mapping_Servers_Backup[NIST Control]=B73)&amp;CHAR(10)),""),
)</f>
        <v/>
      </c>
      <c r="L73" s="190">
        <f>SUMIF(Mapping_Solutions_On_Premise[NIST Control],B73,Mapping_Solutions_On_Premise[Total NIST carbon emission (kgCO2e)])
+SUMIF(Mapping_Solutions_Cloud[NIST Control],B73,Mapping_Solutions_Cloud[Total NIST carbon emission (kgCO2e)])</f>
        <v>0</v>
      </c>
      <c r="M73" s="191" t="str" cm="1">
        <f t="array" ref="M73">_xlfn.CONCAT(
IFERROR(_xlfn.CONCAT(_xlfn._xlws.FILTER(Mapping_Solutions_On_Premise[Application name],#REF!=B73)&amp;CHAR(10)),""),
IFERROR(_xlfn.CONCAT(_xlfn._xlws.FILTER(Mapping_Solutions_Cloud[Application name],#REF!=B73)&amp;CHAR(10)),"")
)</f>
        <v/>
      </c>
      <c r="N73" s="190">
        <f>SUMIF(Mapping_Externals_TM[NIST Control],B73,Mapping_Externals_TM[NIST carbon emission (kgCO2e)])
+SUMIF(Mapping_Externals_Fixed_Price[NIST Control],B73,Mapping_Externals_Fixed_Price[NIST carbon emission (kgCO2e)])</f>
        <v>0</v>
      </c>
      <c r="O73" s="191" t="str" cm="1">
        <f t="array" ref="O73">_xlfn.CONCAT(
IFERROR(_xlfn.CONCAT(_xlfn._xlws.FILTER(Mapping_Externals_TM[Service name],#REF!=B73)&amp;CHAR(10)),""),
IFERROR(_xlfn.CONCAT(_xlfn._xlws.FILTER(Mapping_Externals_Fixed_Price[Service name],#REF!=B73)&amp;CHAR(10)),""))</f>
        <v/>
      </c>
      <c r="P73" s="190">
        <f>SUMIF(Mapping_Travel[NIST Control],B73,Mapping_Travel[Total emissions (kgC02e)])</f>
        <v>0</v>
      </c>
      <c r="Q73" s="192" t="str" cm="1">
        <f t="array" ref="Q73">IFERROR(_xlfn.CONCAT(_xlfn._xlws.FILTER(Mapping_Travel[Type of transportation],Mapping_Travel[NIST Control]=B73)&amp;CHAR(10)),"")</f>
        <v/>
      </c>
      <c r="R73" s="190">
        <f>SUMIF(Mapping_Non_Cyber_Workstation_Laptop[NIST Control],B73,Mapping_Non_Cyber_Workstation_Laptop[Total emissions (kgC02e)])
+SUMIF(Mapping_Non_Cyber_Workstation_Desktop[NIST Control],B73,Mapping_Non_Cyber_Workstation_Desktop[Total emissions (kgC02e)])
+SUMIF(Mapping_Non_Cyber_VDI[NIST Control],B73,Mapping_Non_Cyber_VDI[Total emissions (kgC02e)])
+SUMIF(Mapping_Non_Cyber_Servers[NIST Control],B73,Mapping_Non_Cyber_Servers[Total emissions (kgC02e)])</f>
        <v>0</v>
      </c>
      <c r="S73" s="191" t="str" cm="1">
        <f t="array" ref="S73">_xlfn.CONCAT(
IFERROR(_xlfn.CONCAT(_xlfn._xlws.FILTER(Mapping_Non_Cyber_Workstation_Laptop[Scope],Mapping_Non_Cyber_Workstation_Laptop[NIST Control]=B73)&amp;CHAR(10)),""),
IFERROR(_xlfn.CONCAT(_xlfn._xlws.FILTER(Mapping_Non_Cyber_Workstation_Desktop[Scope],Mapping_Non_Cyber_Workstation_Desktop[NIST Control]=B73)&amp;CHAR(10)),""),
IFERROR(_xlfn.CONCAT(_xlfn._xlws.FILTER(Mapping_Non_Cyber_VDI[Scope],Mapping_Non_Cyber_VDI[NIST Control]=B73)&amp;CHAR(10)),""),
IFERROR(_xlfn.CONCAT(_xlfn._xlws.FILTER(Mapping_Non_Cyber_Servers[Scope],Mapping_Non_Cyber_Servers[NIST Control]=B73)&amp;CHAR(10)),"")
)</f>
        <v/>
      </c>
    </row>
    <row r="74" spans="1:19" ht="362.45">
      <c r="A74" s="27" t="s">
        <v>24</v>
      </c>
      <c r="B74" s="134" t="s">
        <v>137</v>
      </c>
      <c r="C74" s="27" t="s">
        <v>767</v>
      </c>
      <c r="D74"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24349.917117249999</v>
      </c>
      <c r="E74" s="33">
        <f>Dashboard_Per_Control[[#This Row],[Total yearly CO2e emissions (kgCO2e)]]/(1000*Total)</f>
        <v>4.5624912254447767E-3</v>
      </c>
      <c r="F74" s="190">
        <f xml:space="preserve">
SUMIF(Mapping_Devices_Workstation_Laptop[NIST Control],B74,Mapping_Devices_Workstation_Laptop[Total emissions (kgC02e)])
+SUMIF(Mapping_Devices_Workstation_Desktop[NIST Control],B74,Mapping_Devices_Workstation_Desktop[Total emissions (kgC02e)])
+SUMIF(Mapping_Devices_Screens[NIST Control],B74,Mapping_Devices_Screens[Total emissions (kgC02e)])+SUMIF(Mapping_Devices_Smartphone[NIST Control],B74,Mapping_Devices_Smartphone[Total emissions (kgC02e)])</f>
        <v>0</v>
      </c>
      <c r="G74" s="191" t="str" cm="1">
        <f t="array" ref="G74">_xlfn.CONCAT(
IFERROR(_xlfn.CONCAT(_xlfn._xlws.FILTER(Mapping_Devices_Workstation_Laptop[Scope],Mapping_Devices_Workstation_Laptop[NIST Control]=B74)&amp;CHAR(10)),""),
IFERROR(_xlfn.CONCAT(_xlfn._xlws.FILTER(#REF!,#REF!=B74)&amp;CHAR(10)),""),
IFERROR(_xlfn.CONCAT(_xlfn._xlws.FILTER(Mapping_Devices_Screens[Scope],Mapping_Devices_Screens[NIST Control]=B74)&amp;CHAR(10)),""),
IFERROR(_xlfn.CONCAT(_xlfn._xlws.FILTER(Mapping_Devices_Smartphone[Scope],Mapping_Devices_Smartphone[NIST Control]=B74)&amp;CHAR(10)),"")
)</f>
        <v/>
      </c>
      <c r="H74" s="190">
        <f>SUMIF(Mapping_Appliance[NIST Control],B74,Mapping_Appliance[Total emissions (kgC02e)])</f>
        <v>0</v>
      </c>
      <c r="I74" s="191" t="str" cm="1">
        <f t="array" ref="I74">IFERROR(_xlfn.CONCAT(_xlfn._xlws.FILTER(Mapping_Appliance[Scope],Mapping_Appliance[NIST Control]=B74)&amp;CHAR(10)),"")</f>
        <v/>
      </c>
      <c r="J74" s="190">
        <f>SUMIF(Mapping_Servers_Backup[NIST Control],B74,Mapping_Servers_Backup[Total emissions (kgC02e)])</f>
        <v>0</v>
      </c>
      <c r="K74" s="191" t="str" cm="1">
        <f t="array" ref="K74">_xlfn.CONCAT(
IFERROR(_xlfn.CONCAT(_xlfn._xlws.FILTER(Mapping_Non_Cyber_Servers[Scope],Mapping_Non_Cyber_Servers[NIST Control]=B74)&amp;CHAR(10)),""),
IFERROR(_xlfn.CONCAT(_xlfn._xlws.FILTER(Mapping_Servers_Backup[Scope],Mapping_Servers_Backup[NIST Control]=B74)&amp;CHAR(10)),""),
)</f>
        <v xml:space="preserve">In on-premise servers, the CPU/RAM of non cyber servers used for antivirus
</v>
      </c>
      <c r="L74" s="190">
        <f>SUMIF(Mapping_Solutions_On_Premise[NIST Control],B74,Mapping_Solutions_On_Premise[Total NIST carbon emission (kgCO2e)])
+SUMIF(Mapping_Solutions_Cloud[NIST Control],B74,Mapping_Solutions_Cloud[Total NIST carbon emission (kgCO2e)])</f>
        <v>0</v>
      </c>
      <c r="M74" s="191" t="str" cm="1">
        <f t="array" ref="M74">_xlfn.CONCAT(
IFERROR(_xlfn.CONCAT(_xlfn._xlws.FILTER(Mapping_Solutions_On_Premise[Application name],#REF!=B74)&amp;CHAR(10)),""),
IFERROR(_xlfn.CONCAT(_xlfn._xlws.FILTER(Mapping_Solutions_Cloud[Application name],#REF!=B74)&amp;CHAR(10)),"")
)</f>
        <v/>
      </c>
      <c r="N74" s="190">
        <f>SUMIF(Mapping_Externals_TM[NIST Control],B74,Mapping_Externals_TM[NIST carbon emission (kgCO2e)])
+SUMIF(Mapping_Externals_Fixed_Price[NIST Control],B74,Mapping_Externals_Fixed_Price[NIST carbon emission (kgCO2e)])</f>
        <v>0</v>
      </c>
      <c r="O74" s="191" t="str" cm="1">
        <f t="array" ref="O74">_xlfn.CONCAT(
IFERROR(_xlfn.CONCAT(_xlfn._xlws.FILTER(Mapping_Externals_TM[Service name],#REF!=B74)&amp;CHAR(10)),""),
IFERROR(_xlfn.CONCAT(_xlfn._xlws.FILTER(Mapping_Externals_Fixed_Price[Service name],#REF!=B74)&amp;CHAR(10)),""))</f>
        <v/>
      </c>
      <c r="P74" s="190">
        <f>SUMIF(Mapping_Travel[NIST Control],B74,Mapping_Travel[Total emissions (kgC02e)])</f>
        <v>0</v>
      </c>
      <c r="Q74" s="192" t="str" cm="1">
        <f t="array" ref="Q74">IFERROR(_xlfn.CONCAT(_xlfn._xlws.FILTER(Mapping_Travel[Type of transportation],Mapping_Travel[NIST Control]=B74)&amp;CHAR(10)),"")</f>
        <v/>
      </c>
      <c r="R74" s="190">
        <f>SUMIF(Mapping_Non_Cyber_Workstation_Laptop[NIST Control],B74,Mapping_Non_Cyber_Workstation_Laptop[Total emissions (kgC02e)])
+SUMIF(Mapping_Non_Cyber_Workstation_Desktop[NIST Control],B74,Mapping_Non_Cyber_Workstation_Desktop[Total emissions (kgC02e)])
+SUMIF(Mapping_Non_Cyber_VDI[NIST Control],B74,Mapping_Non_Cyber_VDI[Total emissions (kgC02e)])
+SUMIF(Mapping_Non_Cyber_Servers[NIST Control],B74,Mapping_Non_Cyber_Servers[Total emissions (kgC02e)])</f>
        <v>24349.917117249999</v>
      </c>
      <c r="S74" s="191" t="str" cm="1">
        <f t="array" ref="S74">_xlfn.CONCAT(
IFERROR(_xlfn.CONCAT(_xlfn._xlws.FILTER(Mapping_Non_Cyber_Workstation_Laptop[Scope],Mapping_Non_Cyber_Workstation_Laptop[NIST Control]=B74)&amp;CHAR(10)),""),
IFERROR(_xlfn.CONCAT(_xlfn._xlws.FILTER(Mapping_Non_Cyber_Workstation_Desktop[Scope],Mapping_Non_Cyber_Workstation_Desktop[NIST Control]=B74)&amp;CHAR(10)),""),
IFERROR(_xlfn.CONCAT(_xlfn._xlws.FILTER(Mapping_Non_Cyber_VDI[Scope],Mapping_Non_Cyber_VDI[NIST Control]=B74)&amp;CHAR(10)),""),
IFERROR(_xlfn.CONCAT(_xlfn._xlws.FILTER(Mapping_Non_Cyber_Servers[Scope],Mapping_Non_Cyber_Servers[NIST Control]=B74)&amp;CHAR(10)),"")
)</f>
        <v xml:space="preserve">Workstations used by internal non-cyber employees - CPU/RAM used for antivirus/patch
Workstations used by non-cyber contractors given by your company - CPU/RAM used for antivirus/patch
Workstations used by internal non-cyber employees - CPU/RAM used for antivirus/patch
Workstations used by non-cyber contractors given by your company - CPU/RAM used for antivirus/patch
In on-premise servers, the CPU/RAM of non cyber servers used for antivirus
</v>
      </c>
    </row>
    <row r="75" spans="1:19">
      <c r="A75" s="27" t="s">
        <v>24</v>
      </c>
      <c r="B75" s="134" t="s">
        <v>139</v>
      </c>
      <c r="C75" s="27" t="s">
        <v>768</v>
      </c>
      <c r="D75"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5" s="33">
        <f>Dashboard_Per_Control[[#This Row],[Total yearly CO2e emissions (kgCO2e)]]/(1000*Total)</f>
        <v>0</v>
      </c>
      <c r="F75" s="190">
        <f xml:space="preserve">
SUMIF(Mapping_Devices_Workstation_Laptop[NIST Control],B75,Mapping_Devices_Workstation_Laptop[Total emissions (kgC02e)])
+SUMIF(Mapping_Devices_Workstation_Desktop[NIST Control],B75,Mapping_Devices_Workstation_Desktop[Total emissions (kgC02e)])
+SUMIF(Mapping_Devices_Screens[NIST Control],B75,Mapping_Devices_Screens[Total emissions (kgC02e)])+SUMIF(Mapping_Devices_Smartphone[NIST Control],B75,Mapping_Devices_Smartphone[Total emissions (kgC02e)])</f>
        <v>0</v>
      </c>
      <c r="G75" s="191" t="str" cm="1">
        <f t="array" ref="G75">_xlfn.CONCAT(
IFERROR(_xlfn.CONCAT(_xlfn._xlws.FILTER(Mapping_Devices_Workstation_Laptop[Scope],Mapping_Devices_Workstation_Laptop[NIST Control]=B75)&amp;CHAR(10)),""),
IFERROR(_xlfn.CONCAT(_xlfn._xlws.FILTER(#REF!,#REF!=B75)&amp;CHAR(10)),""),
IFERROR(_xlfn.CONCAT(_xlfn._xlws.FILTER(Mapping_Devices_Screens[Scope],Mapping_Devices_Screens[NIST Control]=B75)&amp;CHAR(10)),""),
IFERROR(_xlfn.CONCAT(_xlfn._xlws.FILTER(Mapping_Devices_Smartphone[Scope],Mapping_Devices_Smartphone[NIST Control]=B75)&amp;CHAR(10)),"")
)</f>
        <v/>
      </c>
      <c r="H75" s="190">
        <f>SUMIF(Mapping_Appliance[NIST Control],B75,Mapping_Appliance[Total emissions (kgC02e)])</f>
        <v>0</v>
      </c>
      <c r="I75" s="191" t="str" cm="1">
        <f t="array" ref="I75">IFERROR(_xlfn.CONCAT(_xlfn._xlws.FILTER(Mapping_Appliance[Scope],Mapping_Appliance[NIST Control]=B75)&amp;CHAR(10)),"")</f>
        <v/>
      </c>
      <c r="J75" s="190">
        <f>SUMIF(Mapping_Servers_Backup[NIST Control],B75,Mapping_Servers_Backup[Total emissions (kgC02e)])</f>
        <v>0</v>
      </c>
      <c r="K75" s="191" t="str" cm="1">
        <f t="array" ref="K75">_xlfn.CONCAT(
IFERROR(_xlfn.CONCAT(_xlfn._xlws.FILTER(Mapping_Non_Cyber_Servers[Scope],Mapping_Non_Cyber_Servers[NIST Control]=B75)&amp;CHAR(10)),""),
IFERROR(_xlfn.CONCAT(_xlfn._xlws.FILTER(Mapping_Servers_Backup[Scope],Mapping_Servers_Backup[NIST Control]=B75)&amp;CHAR(10)),""),
)</f>
        <v/>
      </c>
      <c r="L75" s="190">
        <f>SUMIF(Mapping_Solutions_On_Premise[NIST Control],B75,Mapping_Solutions_On_Premise[Total NIST carbon emission (kgCO2e)])
+SUMIF(Mapping_Solutions_Cloud[NIST Control],B75,Mapping_Solutions_Cloud[Total NIST carbon emission (kgCO2e)])</f>
        <v>0</v>
      </c>
      <c r="M75" s="191" t="str" cm="1">
        <f t="array" ref="M75">_xlfn.CONCAT(
IFERROR(_xlfn.CONCAT(_xlfn._xlws.FILTER(Mapping_Solutions_On_Premise[Application name],#REF!=B75)&amp;CHAR(10)),""),
IFERROR(_xlfn.CONCAT(_xlfn._xlws.FILTER(Mapping_Solutions_Cloud[Application name],#REF!=B75)&amp;CHAR(10)),"")
)</f>
        <v/>
      </c>
      <c r="N75" s="190">
        <f>SUMIF(Mapping_Externals_TM[NIST Control],B75,Mapping_Externals_TM[NIST carbon emission (kgCO2e)])
+SUMIF(Mapping_Externals_Fixed_Price[NIST Control],B75,Mapping_Externals_Fixed_Price[NIST carbon emission (kgCO2e)])</f>
        <v>0</v>
      </c>
      <c r="O75" s="191" t="str" cm="1">
        <f t="array" ref="O75">_xlfn.CONCAT(
IFERROR(_xlfn.CONCAT(_xlfn._xlws.FILTER(Mapping_Externals_TM[Service name],#REF!=B75)&amp;CHAR(10)),""),
IFERROR(_xlfn.CONCAT(_xlfn._xlws.FILTER(Mapping_Externals_Fixed_Price[Service name],#REF!=B75)&amp;CHAR(10)),""))</f>
        <v/>
      </c>
      <c r="P75" s="190">
        <f>SUMIF(Mapping_Travel[NIST Control],B75,Mapping_Travel[Total emissions (kgC02e)])</f>
        <v>0</v>
      </c>
      <c r="Q75" s="192" t="str" cm="1">
        <f t="array" ref="Q75">IFERROR(_xlfn.CONCAT(_xlfn._xlws.FILTER(Mapping_Travel[Type of transportation],Mapping_Travel[NIST Control]=B75)&amp;CHAR(10)),"")</f>
        <v/>
      </c>
      <c r="R75" s="190">
        <f>SUMIF(Mapping_Non_Cyber_Workstation_Laptop[NIST Control],B75,Mapping_Non_Cyber_Workstation_Laptop[Total emissions (kgC02e)])
+SUMIF(Mapping_Non_Cyber_Workstation_Desktop[NIST Control],B75,Mapping_Non_Cyber_Workstation_Desktop[Total emissions (kgC02e)])
+SUMIF(Mapping_Non_Cyber_VDI[NIST Control],B75,Mapping_Non_Cyber_VDI[Total emissions (kgC02e)])
+SUMIF(Mapping_Non_Cyber_Servers[NIST Control],B75,Mapping_Non_Cyber_Servers[Total emissions (kgC02e)])</f>
        <v>0</v>
      </c>
      <c r="S75" s="191" t="str" cm="1">
        <f t="array" ref="S75">_xlfn.CONCAT(
IFERROR(_xlfn.CONCAT(_xlfn._xlws.FILTER(Mapping_Non_Cyber_Workstation_Laptop[Scope],Mapping_Non_Cyber_Workstation_Laptop[NIST Control]=B75)&amp;CHAR(10)),""),
IFERROR(_xlfn.CONCAT(_xlfn._xlws.FILTER(Mapping_Non_Cyber_Workstation_Desktop[Scope],Mapping_Non_Cyber_Workstation_Desktop[NIST Control]=B75)&amp;CHAR(10)),""),
IFERROR(_xlfn.CONCAT(_xlfn._xlws.FILTER(Mapping_Non_Cyber_VDI[Scope],Mapping_Non_Cyber_VDI[NIST Control]=B75)&amp;CHAR(10)),""),
IFERROR(_xlfn.CONCAT(_xlfn._xlws.FILTER(Mapping_Non_Cyber_Servers[Scope],Mapping_Non_Cyber_Servers[NIST Control]=B75)&amp;CHAR(10)),"")
)</f>
        <v/>
      </c>
    </row>
    <row r="76" spans="1:19" ht="43.5">
      <c r="A76" s="27" t="s">
        <v>24</v>
      </c>
      <c r="B76" s="134" t="s">
        <v>141</v>
      </c>
      <c r="C76" s="27" t="s">
        <v>769</v>
      </c>
      <c r="D76"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6" s="33">
        <f>Dashboard_Per_Control[[#This Row],[Total yearly CO2e emissions (kgCO2e)]]/(1000*Total)</f>
        <v>0</v>
      </c>
      <c r="F76" s="190">
        <f xml:space="preserve">
SUMIF(Mapping_Devices_Workstation_Laptop[NIST Control],B76,Mapping_Devices_Workstation_Laptop[Total emissions (kgC02e)])
+SUMIF(Mapping_Devices_Workstation_Desktop[NIST Control],B76,Mapping_Devices_Workstation_Desktop[Total emissions (kgC02e)])
+SUMIF(Mapping_Devices_Screens[NIST Control],B76,Mapping_Devices_Screens[Total emissions (kgC02e)])+SUMIF(Mapping_Devices_Smartphone[NIST Control],B76,Mapping_Devices_Smartphone[Total emissions (kgC02e)])</f>
        <v>0</v>
      </c>
      <c r="G76" s="191" t="str" cm="1">
        <f t="array" ref="G76">_xlfn.CONCAT(
IFERROR(_xlfn.CONCAT(_xlfn._xlws.FILTER(Mapping_Devices_Workstation_Laptop[Scope],Mapping_Devices_Workstation_Laptop[NIST Control]=B76)&amp;CHAR(10)),""),
IFERROR(_xlfn.CONCAT(_xlfn._xlws.FILTER(#REF!,#REF!=B76)&amp;CHAR(10)),""),
IFERROR(_xlfn.CONCAT(_xlfn._xlws.FILTER(Mapping_Devices_Screens[Scope],Mapping_Devices_Screens[NIST Control]=B76)&amp;CHAR(10)),""),
IFERROR(_xlfn.CONCAT(_xlfn._xlws.FILTER(Mapping_Devices_Smartphone[Scope],Mapping_Devices_Smartphone[NIST Control]=B76)&amp;CHAR(10)),"")
)</f>
        <v/>
      </c>
      <c r="H76" s="190">
        <f>SUMIF(Mapping_Appliance[NIST Control],B76,Mapping_Appliance[Total emissions (kgC02e)])</f>
        <v>0</v>
      </c>
      <c r="I76" s="191" t="str" cm="1">
        <f t="array" ref="I76">IFERROR(_xlfn.CONCAT(_xlfn._xlws.FILTER(Mapping_Appliance[Scope],Mapping_Appliance[NIST Control]=B76)&amp;CHAR(10)),"")</f>
        <v/>
      </c>
      <c r="J76" s="190">
        <f>SUMIF(Mapping_Servers_Backup[NIST Control],B76,Mapping_Servers_Backup[Total emissions (kgC02e)])</f>
        <v>0</v>
      </c>
      <c r="K76" s="191" t="str" cm="1">
        <f t="array" ref="K76">_xlfn.CONCAT(
IFERROR(_xlfn.CONCAT(_xlfn._xlws.FILTER(Mapping_Non_Cyber_Servers[Scope],Mapping_Non_Cyber_Servers[NIST Control]=B76)&amp;CHAR(10)),""),
IFERROR(_xlfn.CONCAT(_xlfn._xlws.FILTER(Mapping_Servers_Backup[Scope],Mapping_Servers_Backup[NIST Control]=B76)&amp;CHAR(10)),""),
)</f>
        <v/>
      </c>
      <c r="L76" s="190">
        <f>SUMIF(Mapping_Solutions_On_Premise[NIST Control],B76,Mapping_Solutions_On_Premise[Total NIST carbon emission (kgCO2e)])
+SUMIF(Mapping_Solutions_Cloud[NIST Control],B76,Mapping_Solutions_Cloud[Total NIST carbon emission (kgCO2e)])</f>
        <v>0</v>
      </c>
      <c r="M76" s="191" t="str" cm="1">
        <f t="array" ref="M76">_xlfn.CONCAT(
IFERROR(_xlfn.CONCAT(_xlfn._xlws.FILTER(Mapping_Solutions_On_Premise[Application name],#REF!=B76)&amp;CHAR(10)),""),
IFERROR(_xlfn.CONCAT(_xlfn._xlws.FILTER(Mapping_Solutions_Cloud[Application name],#REF!=B76)&amp;CHAR(10)),"")
)</f>
        <v/>
      </c>
      <c r="N76" s="190">
        <f>SUMIF(Mapping_Externals_TM[NIST Control],B76,Mapping_Externals_TM[NIST carbon emission (kgCO2e)])
+SUMIF(Mapping_Externals_Fixed_Price[NIST Control],B76,Mapping_Externals_Fixed_Price[NIST carbon emission (kgCO2e)])</f>
        <v>0</v>
      </c>
      <c r="O76" s="191" t="str" cm="1">
        <f t="array" ref="O76">_xlfn.CONCAT(
IFERROR(_xlfn.CONCAT(_xlfn._xlws.FILTER(Mapping_Externals_TM[Service name],#REF!=B76)&amp;CHAR(10)),""),
IFERROR(_xlfn.CONCAT(_xlfn._xlws.FILTER(Mapping_Externals_Fixed_Price[Service name],#REF!=B76)&amp;CHAR(10)),""))</f>
        <v/>
      </c>
      <c r="P76" s="190">
        <f>SUMIF(Mapping_Travel[NIST Control],B76,Mapping_Travel[Total emissions (kgC02e)])</f>
        <v>0</v>
      </c>
      <c r="Q76" s="192" t="str" cm="1">
        <f t="array" ref="Q76">IFERROR(_xlfn.CONCAT(_xlfn._xlws.FILTER(Mapping_Travel[Type of transportation],Mapping_Travel[NIST Control]=B76)&amp;CHAR(10)),"")</f>
        <v/>
      </c>
      <c r="R76" s="190">
        <f>SUMIF(Mapping_Non_Cyber_Workstation_Laptop[NIST Control],B76,Mapping_Non_Cyber_Workstation_Laptop[Total emissions (kgC02e)])
+SUMIF(Mapping_Non_Cyber_Workstation_Desktop[NIST Control],B76,Mapping_Non_Cyber_Workstation_Desktop[Total emissions (kgC02e)])
+SUMIF(Mapping_Non_Cyber_VDI[NIST Control],B76,Mapping_Non_Cyber_VDI[Total emissions (kgC02e)])
+SUMIF(Mapping_Non_Cyber_Servers[NIST Control],B76,Mapping_Non_Cyber_Servers[Total emissions (kgC02e)])</f>
        <v>0</v>
      </c>
      <c r="S76" s="191" t="str" cm="1">
        <f t="array" ref="S76">_xlfn.CONCAT(
IFERROR(_xlfn.CONCAT(_xlfn._xlws.FILTER(Mapping_Non_Cyber_Workstation_Laptop[Scope],Mapping_Non_Cyber_Workstation_Laptop[NIST Control]=B76)&amp;CHAR(10)),""),
IFERROR(_xlfn.CONCAT(_xlfn._xlws.FILTER(Mapping_Non_Cyber_Workstation_Desktop[Scope],Mapping_Non_Cyber_Workstation_Desktop[NIST Control]=B76)&amp;CHAR(10)),""),
IFERROR(_xlfn.CONCAT(_xlfn._xlws.FILTER(Mapping_Non_Cyber_VDI[Scope],Mapping_Non_Cyber_VDI[NIST Control]=B76)&amp;CHAR(10)),""),
IFERROR(_xlfn.CONCAT(_xlfn._xlws.FILTER(Mapping_Non_Cyber_Servers[Scope],Mapping_Non_Cyber_Servers[NIST Control]=B76)&amp;CHAR(10)),"")
)</f>
        <v/>
      </c>
    </row>
    <row r="77" spans="1:19" ht="43.5">
      <c r="A77" s="27" t="s">
        <v>24</v>
      </c>
      <c r="B77" s="134" t="s">
        <v>143</v>
      </c>
      <c r="C77" s="27" t="s">
        <v>770</v>
      </c>
      <c r="D77"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7" s="33">
        <f>Dashboard_Per_Control[[#This Row],[Total yearly CO2e emissions (kgCO2e)]]/(1000*Total)</f>
        <v>0</v>
      </c>
      <c r="F77" s="190">
        <f xml:space="preserve">
SUMIF(Mapping_Devices_Workstation_Laptop[NIST Control],B77,Mapping_Devices_Workstation_Laptop[Total emissions (kgC02e)])
+SUMIF(Mapping_Devices_Workstation_Desktop[NIST Control],B77,Mapping_Devices_Workstation_Desktop[Total emissions (kgC02e)])
+SUMIF(Mapping_Devices_Screens[NIST Control],B77,Mapping_Devices_Screens[Total emissions (kgC02e)])+SUMIF(Mapping_Devices_Smartphone[NIST Control],B77,Mapping_Devices_Smartphone[Total emissions (kgC02e)])</f>
        <v>0</v>
      </c>
      <c r="G77" s="191" t="str" cm="1">
        <f t="array" ref="G77">_xlfn.CONCAT(
IFERROR(_xlfn.CONCAT(_xlfn._xlws.FILTER(Mapping_Devices_Workstation_Laptop[Scope],Mapping_Devices_Workstation_Laptop[NIST Control]=B77)&amp;CHAR(10)),""),
IFERROR(_xlfn.CONCAT(_xlfn._xlws.FILTER(#REF!,#REF!=B77)&amp;CHAR(10)),""),
IFERROR(_xlfn.CONCAT(_xlfn._xlws.FILTER(Mapping_Devices_Screens[Scope],Mapping_Devices_Screens[NIST Control]=B77)&amp;CHAR(10)),""),
IFERROR(_xlfn.CONCAT(_xlfn._xlws.FILTER(Mapping_Devices_Smartphone[Scope],Mapping_Devices_Smartphone[NIST Control]=B77)&amp;CHAR(10)),"")
)</f>
        <v/>
      </c>
      <c r="H77" s="190">
        <f>SUMIF(Mapping_Appliance[NIST Control],B77,Mapping_Appliance[Total emissions (kgC02e)])</f>
        <v>0</v>
      </c>
      <c r="I77" s="191" t="str" cm="1">
        <f t="array" ref="I77">IFERROR(_xlfn.CONCAT(_xlfn._xlws.FILTER(Mapping_Appliance[Scope],Mapping_Appliance[NIST Control]=B77)&amp;CHAR(10)),"")</f>
        <v/>
      </c>
      <c r="J77" s="190">
        <f>SUMIF(Mapping_Servers_Backup[NIST Control],B77,Mapping_Servers_Backup[Total emissions (kgC02e)])</f>
        <v>0</v>
      </c>
      <c r="K77" s="191" t="str" cm="1">
        <f t="array" ref="K77">_xlfn.CONCAT(
IFERROR(_xlfn.CONCAT(_xlfn._xlws.FILTER(Mapping_Non_Cyber_Servers[Scope],Mapping_Non_Cyber_Servers[NIST Control]=B77)&amp;CHAR(10)),""),
IFERROR(_xlfn.CONCAT(_xlfn._xlws.FILTER(Mapping_Servers_Backup[Scope],Mapping_Servers_Backup[NIST Control]=B77)&amp;CHAR(10)),""),
)</f>
        <v/>
      </c>
      <c r="L77" s="190">
        <f>SUMIF(Mapping_Solutions_On_Premise[NIST Control],B77,Mapping_Solutions_On_Premise[Total NIST carbon emission (kgCO2e)])
+SUMIF(Mapping_Solutions_Cloud[NIST Control],B77,Mapping_Solutions_Cloud[Total NIST carbon emission (kgCO2e)])</f>
        <v>0</v>
      </c>
      <c r="M77" s="191" t="str" cm="1">
        <f t="array" ref="M77">_xlfn.CONCAT(
IFERROR(_xlfn.CONCAT(_xlfn._xlws.FILTER(Mapping_Solutions_On_Premise[Application name],#REF!=B77)&amp;CHAR(10)),""),
IFERROR(_xlfn.CONCAT(_xlfn._xlws.FILTER(Mapping_Solutions_Cloud[Application name],#REF!=B77)&amp;CHAR(10)),"")
)</f>
        <v/>
      </c>
      <c r="N77" s="190">
        <f>SUMIF(Mapping_Externals_TM[NIST Control],B77,Mapping_Externals_TM[NIST carbon emission (kgCO2e)])
+SUMIF(Mapping_Externals_Fixed_Price[NIST Control],B77,Mapping_Externals_Fixed_Price[NIST carbon emission (kgCO2e)])</f>
        <v>0</v>
      </c>
      <c r="O77" s="191" t="str" cm="1">
        <f t="array" ref="O77">_xlfn.CONCAT(
IFERROR(_xlfn.CONCAT(_xlfn._xlws.FILTER(Mapping_Externals_TM[Service name],#REF!=B77)&amp;CHAR(10)),""),
IFERROR(_xlfn.CONCAT(_xlfn._xlws.FILTER(Mapping_Externals_Fixed_Price[Service name],#REF!=B77)&amp;CHAR(10)),""))</f>
        <v/>
      </c>
      <c r="P77" s="190">
        <f>SUMIF(Mapping_Travel[NIST Control],B77,Mapping_Travel[Total emissions (kgC02e)])</f>
        <v>0</v>
      </c>
      <c r="Q77" s="192" t="str" cm="1">
        <f t="array" ref="Q77">IFERROR(_xlfn.CONCAT(_xlfn._xlws.FILTER(Mapping_Travel[Type of transportation],Mapping_Travel[NIST Control]=B77)&amp;CHAR(10)),"")</f>
        <v/>
      </c>
      <c r="R77" s="190">
        <f>SUMIF(Mapping_Non_Cyber_Workstation_Laptop[NIST Control],B77,Mapping_Non_Cyber_Workstation_Laptop[Total emissions (kgC02e)])
+SUMIF(Mapping_Non_Cyber_Workstation_Desktop[NIST Control],B77,Mapping_Non_Cyber_Workstation_Desktop[Total emissions (kgC02e)])
+SUMIF(Mapping_Non_Cyber_VDI[NIST Control],B77,Mapping_Non_Cyber_VDI[Total emissions (kgC02e)])
+SUMIF(Mapping_Non_Cyber_Servers[NIST Control],B77,Mapping_Non_Cyber_Servers[Total emissions (kgC02e)])</f>
        <v>0</v>
      </c>
      <c r="S77" s="191" t="str" cm="1">
        <f t="array" ref="S77">_xlfn.CONCAT(
IFERROR(_xlfn.CONCAT(_xlfn._xlws.FILTER(Mapping_Non_Cyber_Workstation_Laptop[Scope],Mapping_Non_Cyber_Workstation_Laptop[NIST Control]=B77)&amp;CHAR(10)),""),
IFERROR(_xlfn.CONCAT(_xlfn._xlws.FILTER(Mapping_Non_Cyber_Workstation_Desktop[Scope],Mapping_Non_Cyber_Workstation_Desktop[NIST Control]=B77)&amp;CHAR(10)),""),
IFERROR(_xlfn.CONCAT(_xlfn._xlws.FILTER(Mapping_Non_Cyber_VDI[Scope],Mapping_Non_Cyber_VDI[NIST Control]=B77)&amp;CHAR(10)),""),
IFERROR(_xlfn.CONCAT(_xlfn._xlws.FILTER(Mapping_Non_Cyber_Servers[Scope],Mapping_Non_Cyber_Servers[NIST Control]=B77)&amp;CHAR(10)),"")
)</f>
        <v/>
      </c>
    </row>
    <row r="78" spans="1:19">
      <c r="A78" s="27" t="s">
        <v>24</v>
      </c>
      <c r="B78" s="134" t="s">
        <v>145</v>
      </c>
      <c r="C78" s="27" t="s">
        <v>771</v>
      </c>
      <c r="D78"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8" s="33">
        <f>Dashboard_Per_Control[[#This Row],[Total yearly CO2e emissions (kgCO2e)]]/(1000*Total)</f>
        <v>0</v>
      </c>
      <c r="F78" s="190">
        <f xml:space="preserve">
SUMIF(Mapping_Devices_Workstation_Laptop[NIST Control],B78,Mapping_Devices_Workstation_Laptop[Total emissions (kgC02e)])
+SUMIF(Mapping_Devices_Workstation_Desktop[NIST Control],B78,Mapping_Devices_Workstation_Desktop[Total emissions (kgC02e)])
+SUMIF(Mapping_Devices_Screens[NIST Control],B78,Mapping_Devices_Screens[Total emissions (kgC02e)])+SUMIF(Mapping_Devices_Smartphone[NIST Control],B78,Mapping_Devices_Smartphone[Total emissions (kgC02e)])</f>
        <v>0</v>
      </c>
      <c r="G78" s="191" t="str" cm="1">
        <f t="array" ref="G78">_xlfn.CONCAT(
IFERROR(_xlfn.CONCAT(_xlfn._xlws.FILTER(Mapping_Devices_Workstation_Laptop[Scope],Mapping_Devices_Workstation_Laptop[NIST Control]=B78)&amp;CHAR(10)),""),
IFERROR(_xlfn.CONCAT(_xlfn._xlws.FILTER(#REF!,#REF!=B78)&amp;CHAR(10)),""),
IFERROR(_xlfn.CONCAT(_xlfn._xlws.FILTER(Mapping_Devices_Screens[Scope],Mapping_Devices_Screens[NIST Control]=B78)&amp;CHAR(10)),""),
IFERROR(_xlfn.CONCAT(_xlfn._xlws.FILTER(Mapping_Devices_Smartphone[Scope],Mapping_Devices_Smartphone[NIST Control]=B78)&amp;CHAR(10)),"")
)</f>
        <v/>
      </c>
      <c r="H78" s="190">
        <f>SUMIF(Mapping_Appliance[NIST Control],B78,Mapping_Appliance[Total emissions (kgC02e)])</f>
        <v>0</v>
      </c>
      <c r="I78" s="191" t="str" cm="1">
        <f t="array" ref="I78">IFERROR(_xlfn.CONCAT(_xlfn._xlws.FILTER(Mapping_Appliance[Scope],Mapping_Appliance[NIST Control]=B78)&amp;CHAR(10)),"")</f>
        <v/>
      </c>
      <c r="J78" s="190">
        <f>SUMIF(Mapping_Servers_Backup[NIST Control],B78,Mapping_Servers_Backup[Total emissions (kgC02e)])</f>
        <v>0</v>
      </c>
      <c r="K78" s="191" t="str" cm="1">
        <f t="array" ref="K78">_xlfn.CONCAT(
IFERROR(_xlfn.CONCAT(_xlfn._xlws.FILTER(Mapping_Non_Cyber_Servers[Scope],Mapping_Non_Cyber_Servers[NIST Control]=B78)&amp;CHAR(10)),""),
IFERROR(_xlfn.CONCAT(_xlfn._xlws.FILTER(Mapping_Servers_Backup[Scope],Mapping_Servers_Backup[NIST Control]=B78)&amp;CHAR(10)),""),
)</f>
        <v/>
      </c>
      <c r="L78" s="190">
        <f>SUMIF(Mapping_Solutions_On_Premise[NIST Control],B78,Mapping_Solutions_On_Premise[Total NIST carbon emission (kgCO2e)])
+SUMIF(Mapping_Solutions_Cloud[NIST Control],B78,Mapping_Solutions_Cloud[Total NIST carbon emission (kgCO2e)])</f>
        <v>0</v>
      </c>
      <c r="M78" s="191" t="str" cm="1">
        <f t="array" ref="M78">_xlfn.CONCAT(
IFERROR(_xlfn.CONCAT(_xlfn._xlws.FILTER(Mapping_Solutions_On_Premise[Application name],#REF!=B78)&amp;CHAR(10)),""),
IFERROR(_xlfn.CONCAT(_xlfn._xlws.FILTER(Mapping_Solutions_Cloud[Application name],#REF!=B78)&amp;CHAR(10)),"")
)</f>
        <v/>
      </c>
      <c r="N78" s="190">
        <f>SUMIF(Mapping_Externals_TM[NIST Control],B78,Mapping_Externals_TM[NIST carbon emission (kgCO2e)])
+SUMIF(Mapping_Externals_Fixed_Price[NIST Control],B78,Mapping_Externals_Fixed_Price[NIST carbon emission (kgCO2e)])</f>
        <v>0</v>
      </c>
      <c r="O78" s="191" t="str" cm="1">
        <f t="array" ref="O78">_xlfn.CONCAT(
IFERROR(_xlfn.CONCAT(_xlfn._xlws.FILTER(Mapping_Externals_TM[Service name],#REF!=B78)&amp;CHAR(10)),""),
IFERROR(_xlfn.CONCAT(_xlfn._xlws.FILTER(Mapping_Externals_Fixed_Price[Service name],#REF!=B78)&amp;CHAR(10)),""))</f>
        <v/>
      </c>
      <c r="P78" s="190">
        <f>SUMIF(Mapping_Travel[NIST Control],B78,Mapping_Travel[Total emissions (kgC02e)])</f>
        <v>0</v>
      </c>
      <c r="Q78" s="192" t="str" cm="1">
        <f t="array" ref="Q78">IFERROR(_xlfn.CONCAT(_xlfn._xlws.FILTER(Mapping_Travel[Type of transportation],Mapping_Travel[NIST Control]=B78)&amp;CHAR(10)),"")</f>
        <v/>
      </c>
      <c r="R78" s="190">
        <f>SUMIF(Mapping_Non_Cyber_Workstation_Laptop[NIST Control],B78,Mapping_Non_Cyber_Workstation_Laptop[Total emissions (kgC02e)])
+SUMIF(Mapping_Non_Cyber_Workstation_Desktop[NIST Control],B78,Mapping_Non_Cyber_Workstation_Desktop[Total emissions (kgC02e)])
+SUMIF(Mapping_Non_Cyber_VDI[NIST Control],B78,Mapping_Non_Cyber_VDI[Total emissions (kgC02e)])
+SUMIF(Mapping_Non_Cyber_Servers[NIST Control],B78,Mapping_Non_Cyber_Servers[Total emissions (kgC02e)])</f>
        <v>0</v>
      </c>
      <c r="S78" s="191" t="str" cm="1">
        <f t="array" ref="S78">_xlfn.CONCAT(
IFERROR(_xlfn.CONCAT(_xlfn._xlws.FILTER(Mapping_Non_Cyber_Workstation_Laptop[Scope],Mapping_Non_Cyber_Workstation_Laptop[NIST Control]=B78)&amp;CHAR(10)),""),
IFERROR(_xlfn.CONCAT(_xlfn._xlws.FILTER(Mapping_Non_Cyber_Workstation_Desktop[Scope],Mapping_Non_Cyber_Workstation_Desktop[NIST Control]=B78)&amp;CHAR(10)),""),
IFERROR(_xlfn.CONCAT(_xlfn._xlws.FILTER(Mapping_Non_Cyber_VDI[Scope],Mapping_Non_Cyber_VDI[NIST Control]=B78)&amp;CHAR(10)),""),
IFERROR(_xlfn.CONCAT(_xlfn._xlws.FILTER(Mapping_Non_Cyber_Servers[Scope],Mapping_Non_Cyber_Servers[NIST Control]=B78)&amp;CHAR(10)),"")
)</f>
        <v/>
      </c>
    </row>
    <row r="79" spans="1:19" ht="29.1">
      <c r="A79" s="27" t="s">
        <v>24</v>
      </c>
      <c r="B79" s="134" t="s">
        <v>147</v>
      </c>
      <c r="C79" s="27" t="s">
        <v>772</v>
      </c>
      <c r="D79"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79" s="33">
        <f>Dashboard_Per_Control[[#This Row],[Total yearly CO2e emissions (kgCO2e)]]/(1000*Total)</f>
        <v>0</v>
      </c>
      <c r="F79" s="190">
        <f xml:space="preserve">
SUMIF(Mapping_Devices_Workstation_Laptop[NIST Control],B79,Mapping_Devices_Workstation_Laptop[Total emissions (kgC02e)])
+SUMIF(Mapping_Devices_Workstation_Desktop[NIST Control],B79,Mapping_Devices_Workstation_Desktop[Total emissions (kgC02e)])
+SUMIF(Mapping_Devices_Screens[NIST Control],B79,Mapping_Devices_Screens[Total emissions (kgC02e)])+SUMIF(Mapping_Devices_Smartphone[NIST Control],B79,Mapping_Devices_Smartphone[Total emissions (kgC02e)])</f>
        <v>0</v>
      </c>
      <c r="G79" s="191" t="str" cm="1">
        <f t="array" ref="G79">_xlfn.CONCAT(
IFERROR(_xlfn.CONCAT(_xlfn._xlws.FILTER(Mapping_Devices_Workstation_Laptop[Scope],Mapping_Devices_Workstation_Laptop[NIST Control]=B79)&amp;CHAR(10)),""),
IFERROR(_xlfn.CONCAT(_xlfn._xlws.FILTER(#REF!,#REF!=B79)&amp;CHAR(10)),""),
IFERROR(_xlfn.CONCAT(_xlfn._xlws.FILTER(Mapping_Devices_Screens[Scope],Mapping_Devices_Screens[NIST Control]=B79)&amp;CHAR(10)),""),
IFERROR(_xlfn.CONCAT(_xlfn._xlws.FILTER(Mapping_Devices_Smartphone[Scope],Mapping_Devices_Smartphone[NIST Control]=B79)&amp;CHAR(10)),"")
)</f>
        <v/>
      </c>
      <c r="H79" s="190">
        <f>SUMIF(Mapping_Appliance[NIST Control],B79,Mapping_Appliance[Total emissions (kgC02e)])</f>
        <v>0</v>
      </c>
      <c r="I79" s="191" t="str" cm="1">
        <f t="array" ref="I79">IFERROR(_xlfn.CONCAT(_xlfn._xlws.FILTER(Mapping_Appliance[Scope],Mapping_Appliance[NIST Control]=B79)&amp;CHAR(10)),"")</f>
        <v/>
      </c>
      <c r="J79" s="190">
        <f>SUMIF(Mapping_Servers_Backup[NIST Control],B79,Mapping_Servers_Backup[Total emissions (kgC02e)])</f>
        <v>0</v>
      </c>
      <c r="K79" s="191" t="str" cm="1">
        <f t="array" ref="K79">_xlfn.CONCAT(
IFERROR(_xlfn.CONCAT(_xlfn._xlws.FILTER(Mapping_Non_Cyber_Servers[Scope],Mapping_Non_Cyber_Servers[NIST Control]=B79)&amp;CHAR(10)),""),
IFERROR(_xlfn.CONCAT(_xlfn._xlws.FILTER(Mapping_Servers_Backup[Scope],Mapping_Servers_Backup[NIST Control]=B79)&amp;CHAR(10)),""),
)</f>
        <v/>
      </c>
      <c r="L79" s="190">
        <f>SUMIF(Mapping_Solutions_On_Premise[NIST Control],B79,Mapping_Solutions_On_Premise[Total NIST carbon emission (kgCO2e)])
+SUMIF(Mapping_Solutions_Cloud[NIST Control],B79,Mapping_Solutions_Cloud[Total NIST carbon emission (kgCO2e)])</f>
        <v>0</v>
      </c>
      <c r="M79" s="191" t="str" cm="1">
        <f t="array" ref="M79">_xlfn.CONCAT(
IFERROR(_xlfn.CONCAT(_xlfn._xlws.FILTER(Mapping_Solutions_On_Premise[Application name],#REF!=B79)&amp;CHAR(10)),""),
IFERROR(_xlfn.CONCAT(_xlfn._xlws.FILTER(Mapping_Solutions_Cloud[Application name],#REF!=B79)&amp;CHAR(10)),"")
)</f>
        <v/>
      </c>
      <c r="N79" s="190">
        <f>SUMIF(Mapping_Externals_TM[NIST Control],B79,Mapping_Externals_TM[NIST carbon emission (kgCO2e)])
+SUMIF(Mapping_Externals_Fixed_Price[NIST Control],B79,Mapping_Externals_Fixed_Price[NIST carbon emission (kgCO2e)])</f>
        <v>0</v>
      </c>
      <c r="O79" s="191" t="str" cm="1">
        <f t="array" ref="O79">_xlfn.CONCAT(
IFERROR(_xlfn.CONCAT(_xlfn._xlws.FILTER(Mapping_Externals_TM[Service name],#REF!=B79)&amp;CHAR(10)),""),
IFERROR(_xlfn.CONCAT(_xlfn._xlws.FILTER(Mapping_Externals_Fixed_Price[Service name],#REF!=B79)&amp;CHAR(10)),""))</f>
        <v/>
      </c>
      <c r="P79" s="190">
        <f>SUMIF(Mapping_Travel[NIST Control],B79,Mapping_Travel[Total emissions (kgC02e)])</f>
        <v>0</v>
      </c>
      <c r="Q79" s="192" t="str" cm="1">
        <f t="array" ref="Q79">IFERROR(_xlfn.CONCAT(_xlfn._xlws.FILTER(Mapping_Travel[Type of transportation],Mapping_Travel[NIST Control]=B79)&amp;CHAR(10)),"")</f>
        <v/>
      </c>
      <c r="R79" s="190">
        <f>SUMIF(Mapping_Non_Cyber_Workstation_Laptop[NIST Control],B79,Mapping_Non_Cyber_Workstation_Laptop[Total emissions (kgC02e)])
+SUMIF(Mapping_Non_Cyber_Workstation_Desktop[NIST Control],B79,Mapping_Non_Cyber_Workstation_Desktop[Total emissions (kgC02e)])
+SUMIF(Mapping_Non_Cyber_VDI[NIST Control],B79,Mapping_Non_Cyber_VDI[Total emissions (kgC02e)])
+SUMIF(Mapping_Non_Cyber_Servers[NIST Control],B79,Mapping_Non_Cyber_Servers[Total emissions (kgC02e)])</f>
        <v>0</v>
      </c>
      <c r="S79" s="191" t="str" cm="1">
        <f t="array" ref="S79">_xlfn.CONCAT(
IFERROR(_xlfn.CONCAT(_xlfn._xlws.FILTER(Mapping_Non_Cyber_Workstation_Laptop[Scope],Mapping_Non_Cyber_Workstation_Laptop[NIST Control]=B79)&amp;CHAR(10)),""),
IFERROR(_xlfn.CONCAT(_xlfn._xlws.FILTER(Mapping_Non_Cyber_Workstation_Desktop[Scope],Mapping_Non_Cyber_Workstation_Desktop[NIST Control]=B79)&amp;CHAR(10)),""),
IFERROR(_xlfn.CONCAT(_xlfn._xlws.FILTER(Mapping_Non_Cyber_VDI[Scope],Mapping_Non_Cyber_VDI[NIST Control]=B79)&amp;CHAR(10)),""),
IFERROR(_xlfn.CONCAT(_xlfn._xlws.FILTER(Mapping_Non_Cyber_Servers[Scope],Mapping_Non_Cyber_Servers[NIST Control]=B79)&amp;CHAR(10)),"")
)</f>
        <v/>
      </c>
    </row>
    <row r="80" spans="1:19" ht="43.5">
      <c r="A80" s="27" t="s">
        <v>24</v>
      </c>
      <c r="B80" s="134" t="s">
        <v>149</v>
      </c>
      <c r="C80" s="27" t="s">
        <v>773</v>
      </c>
      <c r="D80"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80" s="33">
        <f>Dashboard_Per_Control[[#This Row],[Total yearly CO2e emissions (kgCO2e)]]/(1000*Total)</f>
        <v>0</v>
      </c>
      <c r="F80" s="190">
        <f xml:space="preserve">
SUMIF(Mapping_Devices_Workstation_Laptop[NIST Control],B80,Mapping_Devices_Workstation_Laptop[Total emissions (kgC02e)])
+SUMIF(Mapping_Devices_Workstation_Desktop[NIST Control],B80,Mapping_Devices_Workstation_Desktop[Total emissions (kgC02e)])
+SUMIF(Mapping_Devices_Screens[NIST Control],B80,Mapping_Devices_Screens[Total emissions (kgC02e)])+SUMIF(Mapping_Devices_Smartphone[NIST Control],B80,Mapping_Devices_Smartphone[Total emissions (kgC02e)])</f>
        <v>0</v>
      </c>
      <c r="G80" s="191" t="str" cm="1">
        <f t="array" ref="G80">_xlfn.CONCAT(
IFERROR(_xlfn.CONCAT(_xlfn._xlws.FILTER(Mapping_Devices_Workstation_Laptop[Scope],Mapping_Devices_Workstation_Laptop[NIST Control]=B80)&amp;CHAR(10)),""),
IFERROR(_xlfn.CONCAT(_xlfn._xlws.FILTER(#REF!,#REF!=B80)&amp;CHAR(10)),""),
IFERROR(_xlfn.CONCAT(_xlfn._xlws.FILTER(Mapping_Devices_Screens[Scope],Mapping_Devices_Screens[NIST Control]=B80)&amp;CHAR(10)),""),
IFERROR(_xlfn.CONCAT(_xlfn._xlws.FILTER(Mapping_Devices_Smartphone[Scope],Mapping_Devices_Smartphone[NIST Control]=B80)&amp;CHAR(10)),"")
)</f>
        <v/>
      </c>
      <c r="H80" s="190">
        <f>SUMIF(Mapping_Appliance[NIST Control],B80,Mapping_Appliance[Total emissions (kgC02e)])</f>
        <v>0</v>
      </c>
      <c r="I80" s="191" t="str" cm="1">
        <f t="array" ref="I80">IFERROR(_xlfn.CONCAT(_xlfn._xlws.FILTER(Mapping_Appliance[Scope],Mapping_Appliance[NIST Control]=B80)&amp;CHAR(10)),"")</f>
        <v/>
      </c>
      <c r="J80" s="190">
        <f>SUMIF(Mapping_Servers_Backup[NIST Control],B80,Mapping_Servers_Backup[Total emissions (kgC02e)])</f>
        <v>0</v>
      </c>
      <c r="K80" s="191" t="str" cm="1">
        <f t="array" ref="K80">_xlfn.CONCAT(
IFERROR(_xlfn.CONCAT(_xlfn._xlws.FILTER(Mapping_Non_Cyber_Servers[Scope],Mapping_Non_Cyber_Servers[NIST Control]=B80)&amp;CHAR(10)),""),
IFERROR(_xlfn.CONCAT(_xlfn._xlws.FILTER(Mapping_Servers_Backup[Scope],Mapping_Servers_Backup[NIST Control]=B80)&amp;CHAR(10)),""),
)</f>
        <v/>
      </c>
      <c r="L80" s="190">
        <f>SUMIF(Mapping_Solutions_On_Premise[NIST Control],B80,Mapping_Solutions_On_Premise[Total NIST carbon emission (kgCO2e)])
+SUMIF(Mapping_Solutions_Cloud[NIST Control],B80,Mapping_Solutions_Cloud[Total NIST carbon emission (kgCO2e)])</f>
        <v>0</v>
      </c>
      <c r="M80" s="191" t="str" cm="1">
        <f t="array" ref="M80">_xlfn.CONCAT(
IFERROR(_xlfn.CONCAT(_xlfn._xlws.FILTER(Mapping_Solutions_On_Premise[Application name],#REF!=B80)&amp;CHAR(10)),""),
IFERROR(_xlfn.CONCAT(_xlfn._xlws.FILTER(Mapping_Solutions_Cloud[Application name],#REF!=B80)&amp;CHAR(10)),"")
)</f>
        <v/>
      </c>
      <c r="N80" s="190">
        <f>SUMIF(Mapping_Externals_TM[NIST Control],B80,Mapping_Externals_TM[NIST carbon emission (kgCO2e)])
+SUMIF(Mapping_Externals_Fixed_Price[NIST Control],B80,Mapping_Externals_Fixed_Price[NIST carbon emission (kgCO2e)])</f>
        <v>0</v>
      </c>
      <c r="O80" s="191" t="str" cm="1">
        <f t="array" ref="O80">_xlfn.CONCAT(
IFERROR(_xlfn.CONCAT(_xlfn._xlws.FILTER(Mapping_Externals_TM[Service name],#REF!=B80)&amp;CHAR(10)),""),
IFERROR(_xlfn.CONCAT(_xlfn._xlws.FILTER(Mapping_Externals_Fixed_Price[Service name],#REF!=B80)&amp;CHAR(10)),""))</f>
        <v/>
      </c>
      <c r="P80" s="190">
        <f>SUMIF(Mapping_Travel[NIST Control],B80,Mapping_Travel[Total emissions (kgC02e)])</f>
        <v>0</v>
      </c>
      <c r="Q80" s="192" t="str" cm="1">
        <f t="array" ref="Q80">IFERROR(_xlfn.CONCAT(_xlfn._xlws.FILTER(Mapping_Travel[Type of transportation],Mapping_Travel[NIST Control]=B80)&amp;CHAR(10)),"")</f>
        <v/>
      </c>
      <c r="R80" s="190">
        <f>SUMIF(Mapping_Non_Cyber_Workstation_Laptop[NIST Control],B80,Mapping_Non_Cyber_Workstation_Laptop[Total emissions (kgC02e)])
+SUMIF(Mapping_Non_Cyber_Workstation_Desktop[NIST Control],B80,Mapping_Non_Cyber_Workstation_Desktop[Total emissions (kgC02e)])
+SUMIF(Mapping_Non_Cyber_VDI[NIST Control],B80,Mapping_Non_Cyber_VDI[Total emissions (kgC02e)])
+SUMIF(Mapping_Non_Cyber_Servers[NIST Control],B80,Mapping_Non_Cyber_Servers[Total emissions (kgC02e)])</f>
        <v>0</v>
      </c>
      <c r="S80" s="191" t="str" cm="1">
        <f t="array" ref="S80">_xlfn.CONCAT(
IFERROR(_xlfn.CONCAT(_xlfn._xlws.FILTER(Mapping_Non_Cyber_Workstation_Laptop[Scope],Mapping_Non_Cyber_Workstation_Laptop[NIST Control]=B80)&amp;CHAR(10)),""),
IFERROR(_xlfn.CONCAT(_xlfn._xlws.FILTER(Mapping_Non_Cyber_Workstation_Desktop[Scope],Mapping_Non_Cyber_Workstation_Desktop[NIST Control]=B80)&amp;CHAR(10)),""),
IFERROR(_xlfn.CONCAT(_xlfn._xlws.FILTER(Mapping_Non_Cyber_VDI[Scope],Mapping_Non_Cyber_VDI[NIST Control]=B80)&amp;CHAR(10)),""),
IFERROR(_xlfn.CONCAT(_xlfn._xlws.FILTER(Mapping_Non_Cyber_Servers[Scope],Mapping_Non_Cyber_Servers[NIST Control]=B80)&amp;CHAR(10)),"")
)</f>
        <v/>
      </c>
    </row>
    <row r="81" spans="1:19" ht="72.599999999999994">
      <c r="A81" s="27" t="s">
        <v>24</v>
      </c>
      <c r="B81" s="134" t="s">
        <v>151</v>
      </c>
      <c r="C81" s="27" t="s">
        <v>774</v>
      </c>
      <c r="D81"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81" s="33">
        <f>Dashboard_Per_Control[[#This Row],[Total yearly CO2e emissions (kgCO2e)]]/(1000*Total)</f>
        <v>0</v>
      </c>
      <c r="F81" s="190">
        <f xml:space="preserve">
SUMIF(Mapping_Devices_Workstation_Laptop[NIST Control],B81,Mapping_Devices_Workstation_Laptop[Total emissions (kgC02e)])
+SUMIF(Mapping_Devices_Workstation_Desktop[NIST Control],B81,Mapping_Devices_Workstation_Desktop[Total emissions (kgC02e)])
+SUMIF(Mapping_Devices_Screens[NIST Control],B81,Mapping_Devices_Screens[Total emissions (kgC02e)])+SUMIF(Mapping_Devices_Smartphone[NIST Control],B81,Mapping_Devices_Smartphone[Total emissions (kgC02e)])</f>
        <v>0</v>
      </c>
      <c r="G81" s="191" t="str" cm="1">
        <f t="array" ref="G81">_xlfn.CONCAT(
IFERROR(_xlfn.CONCAT(_xlfn._xlws.FILTER(Mapping_Devices_Workstation_Laptop[Scope],Mapping_Devices_Workstation_Laptop[NIST Control]=B81)&amp;CHAR(10)),""),
IFERROR(_xlfn.CONCAT(_xlfn._xlws.FILTER(#REF!,#REF!=B81)&amp;CHAR(10)),""),
IFERROR(_xlfn.CONCAT(_xlfn._xlws.FILTER(Mapping_Devices_Screens[Scope],Mapping_Devices_Screens[NIST Control]=B81)&amp;CHAR(10)),""),
IFERROR(_xlfn.CONCAT(_xlfn._xlws.FILTER(Mapping_Devices_Smartphone[Scope],Mapping_Devices_Smartphone[NIST Control]=B81)&amp;CHAR(10)),"")
)</f>
        <v/>
      </c>
      <c r="H81" s="190">
        <f>SUMIF(Mapping_Appliance[NIST Control],B81,Mapping_Appliance[Total emissions (kgC02e)])</f>
        <v>0</v>
      </c>
      <c r="I81" s="191" t="str" cm="1">
        <f t="array" ref="I81">IFERROR(_xlfn.CONCAT(_xlfn._xlws.FILTER(Mapping_Appliance[Scope],Mapping_Appliance[NIST Control]=B81)&amp;CHAR(10)),"")</f>
        <v/>
      </c>
      <c r="J81" s="190">
        <f>SUMIF(Mapping_Servers_Backup[NIST Control],B81,Mapping_Servers_Backup[Total emissions (kgC02e)])</f>
        <v>0</v>
      </c>
      <c r="K81" s="191" t="str" cm="1">
        <f t="array" ref="K81">_xlfn.CONCAT(
IFERROR(_xlfn.CONCAT(_xlfn._xlws.FILTER(Mapping_Non_Cyber_Servers[Scope],Mapping_Non_Cyber_Servers[NIST Control]=B81)&amp;CHAR(10)),""),
IFERROR(_xlfn.CONCAT(_xlfn._xlws.FILTER(Mapping_Servers_Backup[Scope],Mapping_Servers_Backup[NIST Control]=B81)&amp;CHAR(10)),""),
)</f>
        <v/>
      </c>
      <c r="L81" s="190">
        <f>SUMIF(Mapping_Solutions_On_Premise[NIST Control],B81,Mapping_Solutions_On_Premise[Total NIST carbon emission (kgCO2e)])
+SUMIF(Mapping_Solutions_Cloud[NIST Control],B81,Mapping_Solutions_Cloud[Total NIST carbon emission (kgCO2e)])</f>
        <v>0</v>
      </c>
      <c r="M81" s="191" t="str" cm="1">
        <f t="array" ref="M81">_xlfn.CONCAT(
IFERROR(_xlfn.CONCAT(_xlfn._xlws.FILTER(Mapping_Solutions_On_Premise[Application name],#REF!=B81)&amp;CHAR(10)),""),
IFERROR(_xlfn.CONCAT(_xlfn._xlws.FILTER(Mapping_Solutions_Cloud[Application name],#REF!=B81)&amp;CHAR(10)),"")
)</f>
        <v/>
      </c>
      <c r="N81" s="190">
        <f>SUMIF(Mapping_Externals_TM[NIST Control],B81,Mapping_Externals_TM[NIST carbon emission (kgCO2e)])
+SUMIF(Mapping_Externals_Fixed_Price[NIST Control],B81,Mapping_Externals_Fixed_Price[NIST carbon emission (kgCO2e)])</f>
        <v>0</v>
      </c>
      <c r="O81" s="191" t="str" cm="1">
        <f t="array" ref="O81">_xlfn.CONCAT(
IFERROR(_xlfn.CONCAT(_xlfn._xlws.FILTER(Mapping_Externals_TM[Service name],#REF!=B81)&amp;CHAR(10)),""),
IFERROR(_xlfn.CONCAT(_xlfn._xlws.FILTER(Mapping_Externals_Fixed_Price[Service name],#REF!=B81)&amp;CHAR(10)),""))</f>
        <v/>
      </c>
      <c r="P81" s="190">
        <f>SUMIF(Mapping_Travel[NIST Control],B81,Mapping_Travel[Total emissions (kgC02e)])</f>
        <v>0</v>
      </c>
      <c r="Q81" s="192" t="str" cm="1">
        <f t="array" ref="Q81">IFERROR(_xlfn.CONCAT(_xlfn._xlws.FILTER(Mapping_Travel[Type of transportation],Mapping_Travel[NIST Control]=B81)&amp;CHAR(10)),"")</f>
        <v/>
      </c>
      <c r="R81" s="190">
        <f>SUMIF(Mapping_Non_Cyber_Workstation_Laptop[NIST Control],B81,Mapping_Non_Cyber_Workstation_Laptop[Total emissions (kgC02e)])
+SUMIF(Mapping_Non_Cyber_Workstation_Desktop[NIST Control],B81,Mapping_Non_Cyber_Workstation_Desktop[Total emissions (kgC02e)])
+SUMIF(Mapping_Non_Cyber_VDI[NIST Control],B81,Mapping_Non_Cyber_VDI[Total emissions (kgC02e)])
+SUMIF(Mapping_Non_Cyber_Servers[NIST Control],B81,Mapping_Non_Cyber_Servers[Total emissions (kgC02e)])</f>
        <v>0</v>
      </c>
      <c r="S81" s="191" t="str" cm="1">
        <f t="array" ref="S81">_xlfn.CONCAT(
IFERROR(_xlfn.CONCAT(_xlfn._xlws.FILTER(Mapping_Non_Cyber_Workstation_Laptop[Scope],Mapping_Non_Cyber_Workstation_Laptop[NIST Control]=B81)&amp;CHAR(10)),""),
IFERROR(_xlfn.CONCAT(_xlfn._xlws.FILTER(Mapping_Non_Cyber_Workstation_Desktop[Scope],Mapping_Non_Cyber_Workstation_Desktop[NIST Control]=B81)&amp;CHAR(10)),""),
IFERROR(_xlfn.CONCAT(_xlfn._xlws.FILTER(Mapping_Non_Cyber_VDI[Scope],Mapping_Non_Cyber_VDI[NIST Control]=B81)&amp;CHAR(10)),""),
IFERROR(_xlfn.CONCAT(_xlfn._xlws.FILTER(Mapping_Non_Cyber_Servers[Scope],Mapping_Non_Cyber_Servers[NIST Control]=B81)&amp;CHAR(10)),"")
)</f>
        <v/>
      </c>
    </row>
    <row r="82" spans="1:19" ht="43.5">
      <c r="A82" s="27" t="s">
        <v>24</v>
      </c>
      <c r="B82" s="134" t="s">
        <v>153</v>
      </c>
      <c r="C82" s="27" t="s">
        <v>775</v>
      </c>
      <c r="D82"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82" s="33">
        <f>Dashboard_Per_Control[[#This Row],[Total yearly CO2e emissions (kgCO2e)]]/(1000*Total)</f>
        <v>0</v>
      </c>
      <c r="F82" s="190">
        <f xml:space="preserve">
SUMIF(Mapping_Devices_Workstation_Laptop[NIST Control],B82,Mapping_Devices_Workstation_Laptop[Total emissions (kgC02e)])
+SUMIF(Mapping_Devices_Workstation_Desktop[NIST Control],B82,Mapping_Devices_Workstation_Desktop[Total emissions (kgC02e)])
+SUMIF(Mapping_Devices_Screens[NIST Control],B82,Mapping_Devices_Screens[Total emissions (kgC02e)])+SUMIF(Mapping_Devices_Smartphone[NIST Control],B82,Mapping_Devices_Smartphone[Total emissions (kgC02e)])</f>
        <v>0</v>
      </c>
      <c r="G82" s="191" t="str" cm="1">
        <f t="array" ref="G82">_xlfn.CONCAT(
IFERROR(_xlfn.CONCAT(_xlfn._xlws.FILTER(Mapping_Devices_Workstation_Laptop[Scope],Mapping_Devices_Workstation_Laptop[NIST Control]=B82)&amp;CHAR(10)),""),
IFERROR(_xlfn.CONCAT(_xlfn._xlws.FILTER(#REF!,#REF!=B82)&amp;CHAR(10)),""),
IFERROR(_xlfn.CONCAT(_xlfn._xlws.FILTER(Mapping_Devices_Screens[Scope],Mapping_Devices_Screens[NIST Control]=B82)&amp;CHAR(10)),""),
IFERROR(_xlfn.CONCAT(_xlfn._xlws.FILTER(Mapping_Devices_Smartphone[Scope],Mapping_Devices_Smartphone[NIST Control]=B82)&amp;CHAR(10)),"")
)</f>
        <v/>
      </c>
      <c r="H82" s="190">
        <f>SUMIF(Mapping_Appliance[NIST Control],B82,Mapping_Appliance[Total emissions (kgC02e)])</f>
        <v>0</v>
      </c>
      <c r="I82" s="191" t="str" cm="1">
        <f t="array" ref="I82">IFERROR(_xlfn.CONCAT(_xlfn._xlws.FILTER(Mapping_Appliance[Scope],Mapping_Appliance[NIST Control]=B82)&amp;CHAR(10)),"")</f>
        <v/>
      </c>
      <c r="J82" s="190">
        <f>SUMIF(Mapping_Servers_Backup[NIST Control],B82,Mapping_Servers_Backup[Total emissions (kgC02e)])</f>
        <v>0</v>
      </c>
      <c r="K82" s="191" t="str" cm="1">
        <f t="array" ref="K82">_xlfn.CONCAT(
IFERROR(_xlfn.CONCAT(_xlfn._xlws.FILTER(Mapping_Non_Cyber_Servers[Scope],Mapping_Non_Cyber_Servers[NIST Control]=B82)&amp;CHAR(10)),""),
IFERROR(_xlfn.CONCAT(_xlfn._xlws.FILTER(Mapping_Servers_Backup[Scope],Mapping_Servers_Backup[NIST Control]=B82)&amp;CHAR(10)),""),
)</f>
        <v/>
      </c>
      <c r="L82" s="190">
        <f>SUMIF(Mapping_Solutions_On_Premise[NIST Control],B82,Mapping_Solutions_On_Premise[Total NIST carbon emission (kgCO2e)])
+SUMIF(Mapping_Solutions_Cloud[NIST Control],B82,Mapping_Solutions_Cloud[Total NIST carbon emission (kgCO2e)])</f>
        <v>0</v>
      </c>
      <c r="M82" s="191" t="str" cm="1">
        <f t="array" ref="M82">_xlfn.CONCAT(
IFERROR(_xlfn.CONCAT(_xlfn._xlws.FILTER(Mapping_Solutions_On_Premise[Application name],#REF!=B82)&amp;CHAR(10)),""),
IFERROR(_xlfn.CONCAT(_xlfn._xlws.FILTER(Mapping_Solutions_Cloud[Application name],#REF!=B82)&amp;CHAR(10)),"")
)</f>
        <v/>
      </c>
      <c r="N82" s="190">
        <f>SUMIF(Mapping_Externals_TM[NIST Control],B82,Mapping_Externals_TM[NIST carbon emission (kgCO2e)])
+SUMIF(Mapping_Externals_Fixed_Price[NIST Control],B82,Mapping_Externals_Fixed_Price[NIST carbon emission (kgCO2e)])</f>
        <v>0</v>
      </c>
      <c r="O82" s="191" t="str" cm="1">
        <f t="array" ref="O82">_xlfn.CONCAT(
IFERROR(_xlfn.CONCAT(_xlfn._xlws.FILTER(Mapping_Externals_TM[Service name],#REF!=B82)&amp;CHAR(10)),""),
IFERROR(_xlfn.CONCAT(_xlfn._xlws.FILTER(Mapping_Externals_Fixed_Price[Service name],#REF!=B82)&amp;CHAR(10)),""))</f>
        <v/>
      </c>
      <c r="P82" s="190">
        <f>SUMIF(Mapping_Travel[NIST Control],B82,Mapping_Travel[Total emissions (kgC02e)])</f>
        <v>0</v>
      </c>
      <c r="Q82" s="192" t="str" cm="1">
        <f t="array" ref="Q82">IFERROR(_xlfn.CONCAT(_xlfn._xlws.FILTER(Mapping_Travel[Type of transportation],Mapping_Travel[NIST Control]=B82)&amp;CHAR(10)),"")</f>
        <v/>
      </c>
      <c r="R82" s="190">
        <f>SUMIF(Mapping_Non_Cyber_Workstation_Laptop[NIST Control],B82,Mapping_Non_Cyber_Workstation_Laptop[Total emissions (kgC02e)])
+SUMIF(Mapping_Non_Cyber_Workstation_Desktop[NIST Control],B82,Mapping_Non_Cyber_Workstation_Desktop[Total emissions (kgC02e)])
+SUMIF(Mapping_Non_Cyber_VDI[NIST Control],B82,Mapping_Non_Cyber_VDI[Total emissions (kgC02e)])
+SUMIF(Mapping_Non_Cyber_Servers[NIST Control],B82,Mapping_Non_Cyber_Servers[Total emissions (kgC02e)])</f>
        <v>0</v>
      </c>
      <c r="S82" s="191" t="str" cm="1">
        <f t="array" ref="S82">_xlfn.CONCAT(
IFERROR(_xlfn.CONCAT(_xlfn._xlws.FILTER(Mapping_Non_Cyber_Workstation_Laptop[Scope],Mapping_Non_Cyber_Workstation_Laptop[NIST Control]=B82)&amp;CHAR(10)),""),
IFERROR(_xlfn.CONCAT(_xlfn._xlws.FILTER(Mapping_Non_Cyber_Workstation_Desktop[Scope],Mapping_Non_Cyber_Workstation_Desktop[NIST Control]=B82)&amp;CHAR(10)),""),
IFERROR(_xlfn.CONCAT(_xlfn._xlws.FILTER(Mapping_Non_Cyber_VDI[Scope],Mapping_Non_Cyber_VDI[NIST Control]=B82)&amp;CHAR(10)),""),
IFERROR(_xlfn.CONCAT(_xlfn._xlws.FILTER(Mapping_Non_Cyber_Servers[Scope],Mapping_Non_Cyber_Servers[NIST Control]=B82)&amp;CHAR(10)),"")
)</f>
        <v/>
      </c>
    </row>
    <row r="83" spans="1:19" ht="29.1">
      <c r="A83" s="27" t="s">
        <v>24</v>
      </c>
      <c r="B83" s="134" t="s">
        <v>155</v>
      </c>
      <c r="C83" s="27" t="s">
        <v>776</v>
      </c>
      <c r="D83"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83" s="33">
        <f>Dashboard_Per_Control[[#This Row],[Total yearly CO2e emissions (kgCO2e)]]/(1000*Total)</f>
        <v>0</v>
      </c>
      <c r="F83" s="190">
        <f xml:space="preserve">
SUMIF(Mapping_Devices_Workstation_Laptop[NIST Control],B83,Mapping_Devices_Workstation_Laptop[Total emissions (kgC02e)])
+SUMIF(Mapping_Devices_Workstation_Desktop[NIST Control],B83,Mapping_Devices_Workstation_Desktop[Total emissions (kgC02e)])
+SUMIF(Mapping_Devices_Screens[NIST Control],B83,Mapping_Devices_Screens[Total emissions (kgC02e)])+SUMIF(Mapping_Devices_Smartphone[NIST Control],B83,Mapping_Devices_Smartphone[Total emissions (kgC02e)])</f>
        <v>0</v>
      </c>
      <c r="G83" s="191" t="str" cm="1">
        <f t="array" ref="G83">_xlfn.CONCAT(
IFERROR(_xlfn.CONCAT(_xlfn._xlws.FILTER(Mapping_Devices_Workstation_Laptop[Scope],Mapping_Devices_Workstation_Laptop[NIST Control]=B83)&amp;CHAR(10)),""),
IFERROR(_xlfn.CONCAT(_xlfn._xlws.FILTER(#REF!,#REF!=B83)&amp;CHAR(10)),""),
IFERROR(_xlfn.CONCAT(_xlfn._xlws.FILTER(Mapping_Devices_Screens[Scope],Mapping_Devices_Screens[NIST Control]=B83)&amp;CHAR(10)),""),
IFERROR(_xlfn.CONCAT(_xlfn._xlws.FILTER(Mapping_Devices_Smartphone[Scope],Mapping_Devices_Smartphone[NIST Control]=B83)&amp;CHAR(10)),"")
)</f>
        <v/>
      </c>
      <c r="H83" s="190">
        <f>SUMIF(Mapping_Appliance[NIST Control],B83,Mapping_Appliance[Total emissions (kgC02e)])</f>
        <v>0</v>
      </c>
      <c r="I83" s="191" t="str" cm="1">
        <f t="array" ref="I83">IFERROR(_xlfn.CONCAT(_xlfn._xlws.FILTER(Mapping_Appliance[Scope],Mapping_Appliance[NIST Control]=B83)&amp;CHAR(10)),"")</f>
        <v/>
      </c>
      <c r="J83" s="190">
        <f>SUMIF(Mapping_Servers_Backup[NIST Control],B83,Mapping_Servers_Backup[Total emissions (kgC02e)])</f>
        <v>0</v>
      </c>
      <c r="K83" s="191" t="str" cm="1">
        <f t="array" ref="K83">_xlfn.CONCAT(
IFERROR(_xlfn.CONCAT(_xlfn._xlws.FILTER(Mapping_Non_Cyber_Servers[Scope],Mapping_Non_Cyber_Servers[NIST Control]=B83)&amp;CHAR(10)),""),
IFERROR(_xlfn.CONCAT(_xlfn._xlws.FILTER(Mapping_Servers_Backup[Scope],Mapping_Servers_Backup[NIST Control]=B83)&amp;CHAR(10)),""),
)</f>
        <v/>
      </c>
      <c r="L83" s="190">
        <f>SUMIF(Mapping_Solutions_On_Premise[NIST Control],B83,Mapping_Solutions_On_Premise[Total NIST carbon emission (kgCO2e)])
+SUMIF(Mapping_Solutions_Cloud[NIST Control],B83,Mapping_Solutions_Cloud[Total NIST carbon emission (kgCO2e)])</f>
        <v>0</v>
      </c>
      <c r="M83" s="191" t="str" cm="1">
        <f t="array" ref="M83">_xlfn.CONCAT(
IFERROR(_xlfn.CONCAT(_xlfn._xlws.FILTER(Mapping_Solutions_On_Premise[Application name],#REF!=B83)&amp;CHAR(10)),""),
IFERROR(_xlfn.CONCAT(_xlfn._xlws.FILTER(Mapping_Solutions_Cloud[Application name],#REF!=B83)&amp;CHAR(10)),"")
)</f>
        <v/>
      </c>
      <c r="N83" s="190">
        <f>SUMIF(Mapping_Externals_TM[NIST Control],B83,Mapping_Externals_TM[NIST carbon emission (kgCO2e)])
+SUMIF(Mapping_Externals_Fixed_Price[NIST Control],B83,Mapping_Externals_Fixed_Price[NIST carbon emission (kgCO2e)])</f>
        <v>0</v>
      </c>
      <c r="O83" s="191" t="str" cm="1">
        <f t="array" ref="O83">_xlfn.CONCAT(
IFERROR(_xlfn.CONCAT(_xlfn._xlws.FILTER(Mapping_Externals_TM[Service name],#REF!=B83)&amp;CHAR(10)),""),
IFERROR(_xlfn.CONCAT(_xlfn._xlws.FILTER(Mapping_Externals_Fixed_Price[Service name],#REF!=B83)&amp;CHAR(10)),""))</f>
        <v/>
      </c>
      <c r="P83" s="190">
        <f>SUMIF(Mapping_Travel[NIST Control],B83,Mapping_Travel[Total emissions (kgC02e)])</f>
        <v>0</v>
      </c>
      <c r="Q83" s="192" t="str" cm="1">
        <f t="array" ref="Q83">IFERROR(_xlfn.CONCAT(_xlfn._xlws.FILTER(Mapping_Travel[Type of transportation],Mapping_Travel[NIST Control]=B83)&amp;CHAR(10)),"")</f>
        <v/>
      </c>
      <c r="R83" s="190">
        <f>SUMIF(Mapping_Non_Cyber_Workstation_Laptop[NIST Control],B83,Mapping_Non_Cyber_Workstation_Laptop[Total emissions (kgC02e)])
+SUMIF(Mapping_Non_Cyber_Workstation_Desktop[NIST Control],B83,Mapping_Non_Cyber_Workstation_Desktop[Total emissions (kgC02e)])
+SUMIF(Mapping_Non_Cyber_VDI[NIST Control],B83,Mapping_Non_Cyber_VDI[Total emissions (kgC02e)])
+SUMIF(Mapping_Non_Cyber_Servers[NIST Control],B83,Mapping_Non_Cyber_Servers[Total emissions (kgC02e)])</f>
        <v>0</v>
      </c>
      <c r="S83" s="191" t="str" cm="1">
        <f t="array" ref="S83">_xlfn.CONCAT(
IFERROR(_xlfn.CONCAT(_xlfn._xlws.FILTER(Mapping_Non_Cyber_Workstation_Laptop[Scope],Mapping_Non_Cyber_Workstation_Laptop[NIST Control]=B83)&amp;CHAR(10)),""),
IFERROR(_xlfn.CONCAT(_xlfn._xlws.FILTER(Mapping_Non_Cyber_Workstation_Desktop[Scope],Mapping_Non_Cyber_Workstation_Desktop[NIST Control]=B83)&amp;CHAR(10)),""),
IFERROR(_xlfn.CONCAT(_xlfn._xlws.FILTER(Mapping_Non_Cyber_VDI[Scope],Mapping_Non_Cyber_VDI[NIST Control]=B83)&amp;CHAR(10)),""),
IFERROR(_xlfn.CONCAT(_xlfn._xlws.FILTER(Mapping_Non_Cyber_Servers[Scope],Mapping_Non_Cyber_Servers[NIST Control]=B83)&amp;CHAR(10)),"")
)</f>
        <v/>
      </c>
    </row>
    <row r="84" spans="1:19" ht="29.1">
      <c r="A84" s="27" t="s">
        <v>24</v>
      </c>
      <c r="B84" s="134" t="s">
        <v>157</v>
      </c>
      <c r="C84" s="27" t="s">
        <v>777</v>
      </c>
      <c r="D84"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84" s="33">
        <f>Dashboard_Per_Control[[#This Row],[Total yearly CO2e emissions (kgCO2e)]]/(1000*Total)</f>
        <v>0</v>
      </c>
      <c r="F84" s="190">
        <f xml:space="preserve">
SUMIF(Mapping_Devices_Workstation_Laptop[NIST Control],B84,Mapping_Devices_Workstation_Laptop[Total emissions (kgC02e)])
+SUMIF(Mapping_Devices_Workstation_Desktop[NIST Control],B84,Mapping_Devices_Workstation_Desktop[Total emissions (kgC02e)])
+SUMIF(Mapping_Devices_Screens[NIST Control],B84,Mapping_Devices_Screens[Total emissions (kgC02e)])+SUMIF(Mapping_Devices_Smartphone[NIST Control],B84,Mapping_Devices_Smartphone[Total emissions (kgC02e)])</f>
        <v>0</v>
      </c>
      <c r="G84" s="191" t="str" cm="1">
        <f t="array" ref="G84">_xlfn.CONCAT(
IFERROR(_xlfn.CONCAT(_xlfn._xlws.FILTER(Mapping_Devices_Workstation_Laptop[Scope],Mapping_Devices_Workstation_Laptop[NIST Control]=B84)&amp;CHAR(10)),""),
IFERROR(_xlfn.CONCAT(_xlfn._xlws.FILTER(#REF!,#REF!=B84)&amp;CHAR(10)),""),
IFERROR(_xlfn.CONCAT(_xlfn._xlws.FILTER(Mapping_Devices_Screens[Scope],Mapping_Devices_Screens[NIST Control]=B84)&amp;CHAR(10)),""),
IFERROR(_xlfn.CONCAT(_xlfn._xlws.FILTER(Mapping_Devices_Smartphone[Scope],Mapping_Devices_Smartphone[NIST Control]=B84)&amp;CHAR(10)),"")
)</f>
        <v/>
      </c>
      <c r="H84" s="190">
        <f>SUMIF(Mapping_Appliance[NIST Control],B84,Mapping_Appliance[Total emissions (kgC02e)])</f>
        <v>0</v>
      </c>
      <c r="I84" s="191" t="str" cm="1">
        <f t="array" ref="I84">IFERROR(_xlfn.CONCAT(_xlfn._xlws.FILTER(Mapping_Appliance[Scope],Mapping_Appliance[NIST Control]=B84)&amp;CHAR(10)),"")</f>
        <v/>
      </c>
      <c r="J84" s="190">
        <f>SUMIF(Mapping_Servers_Backup[NIST Control],B84,Mapping_Servers_Backup[Total emissions (kgC02e)])</f>
        <v>0</v>
      </c>
      <c r="K84" s="191" t="str" cm="1">
        <f t="array" ref="K84">_xlfn.CONCAT(
IFERROR(_xlfn.CONCAT(_xlfn._xlws.FILTER(Mapping_Non_Cyber_Servers[Scope],Mapping_Non_Cyber_Servers[NIST Control]=B84)&amp;CHAR(10)),""),
IFERROR(_xlfn.CONCAT(_xlfn._xlws.FILTER(Mapping_Servers_Backup[Scope],Mapping_Servers_Backup[NIST Control]=B84)&amp;CHAR(10)),""),
)</f>
        <v/>
      </c>
      <c r="L84" s="190">
        <f>SUMIF(Mapping_Solutions_On_Premise[NIST Control],B84,Mapping_Solutions_On_Premise[Total NIST carbon emission (kgCO2e)])
+SUMIF(Mapping_Solutions_Cloud[NIST Control],B84,Mapping_Solutions_Cloud[Total NIST carbon emission (kgCO2e)])</f>
        <v>0</v>
      </c>
      <c r="M84" s="191" t="str" cm="1">
        <f t="array" ref="M84">_xlfn.CONCAT(
IFERROR(_xlfn.CONCAT(_xlfn._xlws.FILTER(Mapping_Solutions_On_Premise[Application name],#REF!=B84)&amp;CHAR(10)),""),
IFERROR(_xlfn.CONCAT(_xlfn._xlws.FILTER(Mapping_Solutions_Cloud[Application name],#REF!=B84)&amp;CHAR(10)),"")
)</f>
        <v/>
      </c>
      <c r="N84" s="190">
        <f>SUMIF(Mapping_Externals_TM[NIST Control],B84,Mapping_Externals_TM[NIST carbon emission (kgCO2e)])
+SUMIF(Mapping_Externals_Fixed_Price[NIST Control],B84,Mapping_Externals_Fixed_Price[NIST carbon emission (kgCO2e)])</f>
        <v>0</v>
      </c>
      <c r="O84" s="191" t="str" cm="1">
        <f t="array" ref="O84">_xlfn.CONCAT(
IFERROR(_xlfn.CONCAT(_xlfn._xlws.FILTER(Mapping_Externals_TM[Service name],#REF!=B84)&amp;CHAR(10)),""),
IFERROR(_xlfn.CONCAT(_xlfn._xlws.FILTER(Mapping_Externals_Fixed_Price[Service name],#REF!=B84)&amp;CHAR(10)),""))</f>
        <v/>
      </c>
      <c r="P84" s="190">
        <f>SUMIF(Mapping_Travel[NIST Control],B84,Mapping_Travel[Total emissions (kgC02e)])</f>
        <v>0</v>
      </c>
      <c r="Q84" s="192" t="str" cm="1">
        <f t="array" ref="Q84">IFERROR(_xlfn.CONCAT(_xlfn._xlws.FILTER(Mapping_Travel[Type of transportation],Mapping_Travel[NIST Control]=B84)&amp;CHAR(10)),"")</f>
        <v/>
      </c>
      <c r="R84" s="190">
        <f>SUMIF(Mapping_Non_Cyber_Workstation_Laptop[NIST Control],B84,Mapping_Non_Cyber_Workstation_Laptop[Total emissions (kgC02e)])
+SUMIF(Mapping_Non_Cyber_Workstation_Desktop[NIST Control],B84,Mapping_Non_Cyber_Workstation_Desktop[Total emissions (kgC02e)])
+SUMIF(Mapping_Non_Cyber_VDI[NIST Control],B84,Mapping_Non_Cyber_VDI[Total emissions (kgC02e)])
+SUMIF(Mapping_Non_Cyber_Servers[NIST Control],B84,Mapping_Non_Cyber_Servers[Total emissions (kgC02e)])</f>
        <v>0</v>
      </c>
      <c r="S84" s="191" t="str" cm="1">
        <f t="array" ref="S84">_xlfn.CONCAT(
IFERROR(_xlfn.CONCAT(_xlfn._xlws.FILTER(Mapping_Non_Cyber_Workstation_Laptop[Scope],Mapping_Non_Cyber_Workstation_Laptop[NIST Control]=B84)&amp;CHAR(10)),""),
IFERROR(_xlfn.CONCAT(_xlfn._xlws.FILTER(Mapping_Non_Cyber_Workstation_Desktop[Scope],Mapping_Non_Cyber_Workstation_Desktop[NIST Control]=B84)&amp;CHAR(10)),""),
IFERROR(_xlfn.CONCAT(_xlfn._xlws.FILTER(Mapping_Non_Cyber_VDI[Scope],Mapping_Non_Cyber_VDI[NIST Control]=B84)&amp;CHAR(10)),""),
IFERROR(_xlfn.CONCAT(_xlfn._xlws.FILTER(Mapping_Non_Cyber_Servers[Scope],Mapping_Non_Cyber_Servers[NIST Control]=B84)&amp;CHAR(10)),"")
)</f>
        <v/>
      </c>
    </row>
    <row r="85" spans="1:19" ht="57.95">
      <c r="A85" s="27" t="s">
        <v>25</v>
      </c>
      <c r="B85" s="134" t="s">
        <v>159</v>
      </c>
      <c r="C85" s="27" t="s">
        <v>778</v>
      </c>
      <c r="D85"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19264.526658695555</v>
      </c>
      <c r="E85" s="33">
        <f>Dashboard_Per_Control[[#This Row],[Total yearly CO2e emissions (kgCO2e)]]/(1000*Total)</f>
        <v>3.6096317461540481E-3</v>
      </c>
      <c r="F85" s="190">
        <f xml:space="preserve">
SUMIF(Mapping_Devices_Workstation_Laptop[NIST Control],B85,Mapping_Devices_Workstation_Laptop[Total emissions (kgC02e)])
+SUMIF(Mapping_Devices_Workstation_Desktop[NIST Control],B85,Mapping_Devices_Workstation_Desktop[Total emissions (kgC02e)])
+SUMIF(Mapping_Devices_Screens[NIST Control],B85,Mapping_Devices_Screens[Total emissions (kgC02e)])+SUMIF(Mapping_Devices_Smartphone[NIST Control],B85,Mapping_Devices_Smartphone[Total emissions (kgC02e)])</f>
        <v>127.50221250000001</v>
      </c>
      <c r="G85" s="191" t="str" cm="1">
        <f t="array" ref="G85">_xlfn.CONCAT(
IFERROR(_xlfn.CONCAT(_xlfn._xlws.FILTER(Mapping_Devices_Workstation_Laptop[Scope],Mapping_Devices_Workstation_Laptop[NIST Control]=B85)&amp;CHAR(10)),""),
IFERROR(_xlfn.CONCAT(_xlfn._xlws.FILTER(#REF!,#REF!=B85)&amp;CHAR(10)),""),
IFERROR(_xlfn.CONCAT(_xlfn._xlws.FILTER(Mapping_Devices_Screens[Scope],Mapping_Devices_Screens[NIST Control]=B85)&amp;CHAR(10)),""),
IFERROR(_xlfn.CONCAT(_xlfn._xlws.FILTER(Mapping_Devices_Smartphone[Scope],Mapping_Devices_Smartphone[NIST Control]=B85)&amp;CHAR(10)),"")
)</f>
        <v xml:space="preserve">Workstations used for backup purposes
</v>
      </c>
      <c r="H85" s="190">
        <f>SUMIF(Mapping_Appliance[NIST Control],B85,Mapping_Appliance[Total emissions (kgC02e)])</f>
        <v>0</v>
      </c>
      <c r="I85" s="191" t="str" cm="1">
        <f t="array" ref="I85">IFERROR(_xlfn.CONCAT(_xlfn._xlws.FILTER(Mapping_Appliance[Scope],Mapping_Appliance[NIST Control]=B85)&amp;CHAR(10)),"")</f>
        <v/>
      </c>
      <c r="J85" s="190">
        <f>SUMIF(Mapping_Servers_Backup[NIST Control],B85,Mapping_Servers_Backup[Total emissions (kgC02e)])</f>
        <v>19137.024446195555</v>
      </c>
      <c r="K85" s="191" t="str" cm="1">
        <f t="array" ref="K85">_xlfn.CONCAT(
IFERROR(_xlfn.CONCAT(_xlfn._xlws.FILTER(Mapping_Non_Cyber_Servers[Scope],Mapping_Non_Cyber_Servers[NIST Control]=B85)&amp;CHAR(10)),""),
IFERROR(_xlfn.CONCAT(_xlfn._xlws.FILTER(Mapping_Servers_Backup[Scope],Mapping_Servers_Backup[NIST Control]=B85)&amp;CHAR(10)),""),
)</f>
        <v xml:space="preserve">Backup servers
Redundant servers
</v>
      </c>
      <c r="L85" s="190">
        <f>SUMIF(Mapping_Solutions_On_Premise[NIST Control],B85,Mapping_Solutions_On_Premise[Total NIST carbon emission (kgCO2e)])
+SUMIF(Mapping_Solutions_Cloud[NIST Control],B85,Mapping_Solutions_Cloud[Total NIST carbon emission (kgCO2e)])</f>
        <v>0</v>
      </c>
      <c r="M85" s="191" t="str" cm="1">
        <f t="array" ref="M85">_xlfn.CONCAT(
IFERROR(_xlfn.CONCAT(_xlfn._xlws.FILTER(Mapping_Solutions_On_Premise[Application name],#REF!=B85)&amp;CHAR(10)),""),
IFERROR(_xlfn.CONCAT(_xlfn._xlws.FILTER(Mapping_Solutions_Cloud[Application name],#REF!=B85)&amp;CHAR(10)),"")
)</f>
        <v/>
      </c>
      <c r="N85" s="190">
        <f>SUMIF(Mapping_Externals_TM[NIST Control],B85,Mapping_Externals_TM[NIST carbon emission (kgCO2e)])
+SUMIF(Mapping_Externals_Fixed_Price[NIST Control],B85,Mapping_Externals_Fixed_Price[NIST carbon emission (kgCO2e)])</f>
        <v>0</v>
      </c>
      <c r="O85" s="191" t="str" cm="1">
        <f t="array" ref="O85">_xlfn.CONCAT(
IFERROR(_xlfn.CONCAT(_xlfn._xlws.FILTER(Mapping_Externals_TM[Service name],#REF!=B85)&amp;CHAR(10)),""),
IFERROR(_xlfn.CONCAT(_xlfn._xlws.FILTER(Mapping_Externals_Fixed_Price[Service name],#REF!=B85)&amp;CHAR(10)),""))</f>
        <v/>
      </c>
      <c r="P85" s="190">
        <f>SUMIF(Mapping_Travel[NIST Control],B85,Mapping_Travel[Total emissions (kgC02e)])</f>
        <v>0</v>
      </c>
      <c r="Q85" s="192" t="str" cm="1">
        <f t="array" ref="Q85">IFERROR(_xlfn.CONCAT(_xlfn._xlws.FILTER(Mapping_Travel[Type of transportation],Mapping_Travel[NIST Control]=B85)&amp;CHAR(10)),"")</f>
        <v/>
      </c>
      <c r="R85" s="190">
        <f>SUMIF(Mapping_Non_Cyber_Workstation_Laptop[NIST Control],B85,Mapping_Non_Cyber_Workstation_Laptop[Total emissions (kgC02e)])
+SUMIF(Mapping_Non_Cyber_Workstation_Desktop[NIST Control],B85,Mapping_Non_Cyber_Workstation_Desktop[Total emissions (kgC02e)])
+SUMIF(Mapping_Non_Cyber_VDI[NIST Control],B85,Mapping_Non_Cyber_VDI[Total emissions (kgC02e)])
+SUMIF(Mapping_Non_Cyber_Servers[NIST Control],B85,Mapping_Non_Cyber_Servers[Total emissions (kgC02e)])</f>
        <v>0</v>
      </c>
      <c r="S85" s="191" t="str" cm="1">
        <f t="array" ref="S85">_xlfn.CONCAT(
IFERROR(_xlfn.CONCAT(_xlfn._xlws.FILTER(Mapping_Non_Cyber_Workstation_Laptop[Scope],Mapping_Non_Cyber_Workstation_Laptop[NIST Control]=B85)&amp;CHAR(10)),""),
IFERROR(_xlfn.CONCAT(_xlfn._xlws.FILTER(Mapping_Non_Cyber_Workstation_Desktop[Scope],Mapping_Non_Cyber_Workstation_Desktop[NIST Control]=B85)&amp;CHAR(10)),""),
IFERROR(_xlfn.CONCAT(_xlfn._xlws.FILTER(Mapping_Non_Cyber_VDI[Scope],Mapping_Non_Cyber_VDI[NIST Control]=B85)&amp;CHAR(10)),""),
IFERROR(_xlfn.CONCAT(_xlfn._xlws.FILTER(Mapping_Non_Cyber_Servers[Scope],Mapping_Non_Cyber_Servers[NIST Control]=B85)&amp;CHAR(10)),"")
)</f>
        <v/>
      </c>
    </row>
    <row r="86" spans="1:19">
      <c r="A86" s="27" t="s">
        <v>26</v>
      </c>
      <c r="B86" s="134" t="s">
        <v>161</v>
      </c>
      <c r="C86" s="27" t="s">
        <v>779</v>
      </c>
      <c r="D86"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86" s="33">
        <f>Dashboard_Per_Control[[#This Row],[Total yearly CO2e emissions (kgCO2e)]]/(1000*Total)</f>
        <v>0</v>
      </c>
      <c r="F86" s="190">
        <f xml:space="preserve">
SUMIF(Mapping_Devices_Workstation_Laptop[NIST Control],B86,Mapping_Devices_Workstation_Laptop[Total emissions (kgC02e)])
+SUMIF(Mapping_Devices_Workstation_Desktop[NIST Control],B86,Mapping_Devices_Workstation_Desktop[Total emissions (kgC02e)])
+SUMIF(Mapping_Devices_Screens[NIST Control],B86,Mapping_Devices_Screens[Total emissions (kgC02e)])+SUMIF(Mapping_Devices_Smartphone[NIST Control],B86,Mapping_Devices_Smartphone[Total emissions (kgC02e)])</f>
        <v>0</v>
      </c>
      <c r="G86" s="191" t="str" cm="1">
        <f t="array" ref="G86">_xlfn.CONCAT(
IFERROR(_xlfn.CONCAT(_xlfn._xlws.FILTER(Mapping_Devices_Workstation_Laptop[Scope],Mapping_Devices_Workstation_Laptop[NIST Control]=B86)&amp;CHAR(10)),""),
IFERROR(_xlfn.CONCAT(_xlfn._xlws.FILTER(#REF!,#REF!=B86)&amp;CHAR(10)),""),
IFERROR(_xlfn.CONCAT(_xlfn._xlws.FILTER(Mapping_Devices_Screens[Scope],Mapping_Devices_Screens[NIST Control]=B86)&amp;CHAR(10)),""),
IFERROR(_xlfn.CONCAT(_xlfn._xlws.FILTER(Mapping_Devices_Smartphone[Scope],Mapping_Devices_Smartphone[NIST Control]=B86)&amp;CHAR(10)),"")
)</f>
        <v/>
      </c>
      <c r="H86" s="190">
        <f>SUMIF(Mapping_Appliance[NIST Control],B86,Mapping_Appliance[Total emissions (kgC02e)])</f>
        <v>0</v>
      </c>
      <c r="I86" s="191" t="str" cm="1">
        <f t="array" ref="I86">IFERROR(_xlfn.CONCAT(_xlfn._xlws.FILTER(Mapping_Appliance[Scope],Mapping_Appliance[NIST Control]=B86)&amp;CHAR(10)),"")</f>
        <v/>
      </c>
      <c r="J86" s="190">
        <f>SUMIF(Mapping_Servers_Backup[NIST Control],B86,Mapping_Servers_Backup[Total emissions (kgC02e)])</f>
        <v>0</v>
      </c>
      <c r="K86" s="191" t="str" cm="1">
        <f t="array" ref="K86">_xlfn.CONCAT(
IFERROR(_xlfn.CONCAT(_xlfn._xlws.FILTER(Mapping_Non_Cyber_Servers[Scope],Mapping_Non_Cyber_Servers[NIST Control]=B86)&amp;CHAR(10)),""),
IFERROR(_xlfn.CONCAT(_xlfn._xlws.FILTER(Mapping_Servers_Backup[Scope],Mapping_Servers_Backup[NIST Control]=B86)&amp;CHAR(10)),""),
)</f>
        <v/>
      </c>
      <c r="L86" s="190">
        <f>SUMIF(Mapping_Solutions_On_Premise[NIST Control],B86,Mapping_Solutions_On_Premise[Total NIST carbon emission (kgCO2e)])
+SUMIF(Mapping_Solutions_Cloud[NIST Control],B86,Mapping_Solutions_Cloud[Total NIST carbon emission (kgCO2e)])</f>
        <v>0</v>
      </c>
      <c r="M86" s="191" t="str" cm="1">
        <f t="array" ref="M86">_xlfn.CONCAT(
IFERROR(_xlfn.CONCAT(_xlfn._xlws.FILTER(Mapping_Solutions_On_Premise[Application name],#REF!=B86)&amp;CHAR(10)),""),
IFERROR(_xlfn.CONCAT(_xlfn._xlws.FILTER(Mapping_Solutions_Cloud[Application name],#REF!=B86)&amp;CHAR(10)),"")
)</f>
        <v/>
      </c>
      <c r="N86" s="190">
        <f>SUMIF(Mapping_Externals_TM[NIST Control],B86,Mapping_Externals_TM[NIST carbon emission (kgCO2e)])
+SUMIF(Mapping_Externals_Fixed_Price[NIST Control],B86,Mapping_Externals_Fixed_Price[NIST carbon emission (kgCO2e)])</f>
        <v>0</v>
      </c>
      <c r="O86" s="191" t="str" cm="1">
        <f t="array" ref="O86">_xlfn.CONCAT(
IFERROR(_xlfn.CONCAT(_xlfn._xlws.FILTER(Mapping_Externals_TM[Service name],#REF!=B86)&amp;CHAR(10)),""),
IFERROR(_xlfn.CONCAT(_xlfn._xlws.FILTER(Mapping_Externals_Fixed_Price[Service name],#REF!=B86)&amp;CHAR(10)),""))</f>
        <v/>
      </c>
      <c r="P86" s="190">
        <f>SUMIF(Mapping_Travel[NIST Control],B86,Mapping_Travel[Total emissions (kgC02e)])</f>
        <v>0</v>
      </c>
      <c r="Q86" s="192" t="str" cm="1">
        <f t="array" ref="Q86">IFERROR(_xlfn.CONCAT(_xlfn._xlws.FILTER(Mapping_Travel[Type of transportation],Mapping_Travel[NIST Control]=B86)&amp;CHAR(10)),"")</f>
        <v/>
      </c>
      <c r="R86" s="190">
        <f>SUMIF(Mapping_Non_Cyber_Workstation_Laptop[NIST Control],B86,Mapping_Non_Cyber_Workstation_Laptop[Total emissions (kgC02e)])
+SUMIF(Mapping_Non_Cyber_Workstation_Desktop[NIST Control],B86,Mapping_Non_Cyber_Workstation_Desktop[Total emissions (kgC02e)])
+SUMIF(Mapping_Non_Cyber_VDI[NIST Control],B86,Mapping_Non_Cyber_VDI[Total emissions (kgC02e)])
+SUMIF(Mapping_Non_Cyber_Servers[NIST Control],B86,Mapping_Non_Cyber_Servers[Total emissions (kgC02e)])</f>
        <v>0</v>
      </c>
      <c r="S86" s="191" t="str" cm="1">
        <f t="array" ref="S86">_xlfn.CONCAT(
IFERROR(_xlfn.CONCAT(_xlfn._xlws.FILTER(Mapping_Non_Cyber_Workstation_Laptop[Scope],Mapping_Non_Cyber_Workstation_Laptop[NIST Control]=B86)&amp;CHAR(10)),""),
IFERROR(_xlfn.CONCAT(_xlfn._xlws.FILTER(Mapping_Non_Cyber_Workstation_Desktop[Scope],Mapping_Non_Cyber_Workstation_Desktop[NIST Control]=B86)&amp;CHAR(10)),""),
IFERROR(_xlfn.CONCAT(_xlfn._xlws.FILTER(Mapping_Non_Cyber_VDI[Scope],Mapping_Non_Cyber_VDI[NIST Control]=B86)&amp;CHAR(10)),""),
IFERROR(_xlfn.CONCAT(_xlfn._xlws.FILTER(Mapping_Non_Cyber_Servers[Scope],Mapping_Non_Cyber_Servers[NIST Control]=B86)&amp;CHAR(10)),"")
)</f>
        <v/>
      </c>
    </row>
    <row r="87" spans="1:19" ht="43.5">
      <c r="A87" s="31" t="s">
        <v>26</v>
      </c>
      <c r="B87" s="134" t="s">
        <v>163</v>
      </c>
      <c r="C87" s="31" t="s">
        <v>780</v>
      </c>
      <c r="D87"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319.7088317412028</v>
      </c>
      <c r="E87" s="33">
        <f>Dashboard_Per_Control[[#This Row],[Total yearly CO2e emissions (kgCO2e)]]/(1000*Total)</f>
        <v>5.9904464253107719E-5</v>
      </c>
      <c r="F87" s="190">
        <f xml:space="preserve">
SUMIF(Mapping_Devices_Workstation_Laptop[NIST Control],B87,Mapping_Devices_Workstation_Laptop[Total emissions (kgC02e)])
+SUMIF(Mapping_Devices_Workstation_Desktop[NIST Control],B87,Mapping_Devices_Workstation_Desktop[Total emissions (kgC02e)])
+SUMIF(Mapping_Devices_Screens[NIST Control],B87,Mapping_Devices_Screens[Total emissions (kgC02e)])+SUMIF(Mapping_Devices_Smartphone[NIST Control],B87,Mapping_Devices_Smartphone[Total emissions (kgC02e)])</f>
        <v>0</v>
      </c>
      <c r="G87" s="191" t="str" cm="1">
        <f t="array" ref="G87">_xlfn.CONCAT(
IFERROR(_xlfn.CONCAT(_xlfn._xlws.FILTER(Mapping_Devices_Workstation_Laptop[Scope],Mapping_Devices_Workstation_Laptop[NIST Control]=B87)&amp;CHAR(10)),""),
IFERROR(_xlfn.CONCAT(_xlfn._xlws.FILTER(#REF!,#REF!=B87)&amp;CHAR(10)),""),
IFERROR(_xlfn.CONCAT(_xlfn._xlws.FILTER(Mapping_Devices_Screens[Scope],Mapping_Devices_Screens[NIST Control]=B87)&amp;CHAR(10)),""),
IFERROR(_xlfn.CONCAT(_xlfn._xlws.FILTER(Mapping_Devices_Smartphone[Scope],Mapping_Devices_Smartphone[NIST Control]=B87)&amp;CHAR(10)),"")
)</f>
        <v/>
      </c>
      <c r="H87" s="190">
        <f>SUMIF(Mapping_Appliance[NIST Control],B87,Mapping_Appliance[Total emissions (kgC02e)])</f>
        <v>0</v>
      </c>
      <c r="I87" s="191" t="str" cm="1">
        <f t="array" ref="I87">IFERROR(_xlfn.CONCAT(_xlfn._xlws.FILTER(Mapping_Appliance[Scope],Mapping_Appliance[NIST Control]=B87)&amp;CHAR(10)),"")</f>
        <v/>
      </c>
      <c r="J87" s="190">
        <f>SUMIF(Mapping_Servers_Backup[NIST Control],B87,Mapping_Servers_Backup[Total emissions (kgC02e)])</f>
        <v>0</v>
      </c>
      <c r="K87" s="191" t="str" cm="1">
        <f t="array" ref="K87">_xlfn.CONCAT(
IFERROR(_xlfn.CONCAT(_xlfn._xlws.FILTER(Mapping_Non_Cyber_Servers[Scope],Mapping_Non_Cyber_Servers[NIST Control]=B87)&amp;CHAR(10)),""),
IFERROR(_xlfn.CONCAT(_xlfn._xlws.FILTER(Mapping_Servers_Backup[Scope],Mapping_Servers_Backup[NIST Control]=B87)&amp;CHAR(10)),""),
)</f>
        <v/>
      </c>
      <c r="L87" s="190">
        <f>SUMIF(Mapping_Solutions_On_Premise[NIST Control],B87,Mapping_Solutions_On_Premise[Total NIST carbon emission (kgCO2e)])
+SUMIF(Mapping_Solutions_Cloud[NIST Control],B87,Mapping_Solutions_Cloud[Total NIST carbon emission (kgCO2e)])</f>
        <v>0</v>
      </c>
      <c r="M87" s="191" t="str" cm="1">
        <f t="array" ref="M87">_xlfn.CONCAT(
IFERROR(_xlfn.CONCAT(_xlfn._xlws.FILTER(Mapping_Solutions_On_Premise[Application name],#REF!=B87)&amp;CHAR(10)),""),
IFERROR(_xlfn.CONCAT(_xlfn._xlws.FILTER(Mapping_Solutions_Cloud[Application name],#REF!=B87)&amp;CHAR(10)),"")
)</f>
        <v/>
      </c>
      <c r="N87" s="190">
        <f>SUMIF(Mapping_Externals_TM[NIST Control],B87,Mapping_Externals_TM[NIST carbon emission (kgCO2e)])
+SUMIF(Mapping_Externals_Fixed_Price[NIST Control],B87,Mapping_Externals_Fixed_Price[NIST carbon emission (kgCO2e)])</f>
        <v>319.7088317412028</v>
      </c>
      <c r="O87" s="191" t="str" cm="1">
        <f t="array" ref="O87">_xlfn.CONCAT(
IFERROR(_xlfn.CONCAT(_xlfn._xlws.FILTER(Mapping_Externals_TM[Service name],#REF!=B87)&amp;CHAR(10)),""),
IFERROR(_xlfn.CONCAT(_xlfn._xlws.FILTER(Mapping_Externals_Fixed_Price[Service name],#REF!=B87)&amp;CHAR(10)),""))</f>
        <v/>
      </c>
      <c r="P87" s="190">
        <f>SUMIF(Mapping_Travel[NIST Control],B87,Mapping_Travel[Total emissions (kgC02e)])</f>
        <v>0</v>
      </c>
      <c r="Q87" s="192" t="str" cm="1">
        <f t="array" ref="Q87">IFERROR(_xlfn.CONCAT(_xlfn._xlws.FILTER(Mapping_Travel[Type of transportation],Mapping_Travel[NIST Control]=B87)&amp;CHAR(10)),"")</f>
        <v/>
      </c>
      <c r="R87" s="190">
        <f>SUMIF(Mapping_Non_Cyber_Workstation_Laptop[NIST Control],B87,Mapping_Non_Cyber_Workstation_Laptop[Total emissions (kgC02e)])
+SUMIF(Mapping_Non_Cyber_Workstation_Desktop[NIST Control],B87,Mapping_Non_Cyber_Workstation_Desktop[Total emissions (kgC02e)])
+SUMIF(Mapping_Non_Cyber_VDI[NIST Control],B87,Mapping_Non_Cyber_VDI[Total emissions (kgC02e)])
+SUMIF(Mapping_Non_Cyber_Servers[NIST Control],B87,Mapping_Non_Cyber_Servers[Total emissions (kgC02e)])</f>
        <v>0</v>
      </c>
      <c r="S87" s="191" t="str" cm="1">
        <f t="array" ref="S87">_xlfn.CONCAT(
IFERROR(_xlfn.CONCAT(_xlfn._xlws.FILTER(Mapping_Non_Cyber_Workstation_Laptop[Scope],Mapping_Non_Cyber_Workstation_Laptop[NIST Control]=B87)&amp;CHAR(10)),""),
IFERROR(_xlfn.CONCAT(_xlfn._xlws.FILTER(Mapping_Non_Cyber_Workstation_Desktop[Scope],Mapping_Non_Cyber_Workstation_Desktop[NIST Control]=B87)&amp;CHAR(10)),""),
IFERROR(_xlfn.CONCAT(_xlfn._xlws.FILTER(Mapping_Non_Cyber_VDI[Scope],Mapping_Non_Cyber_VDI[NIST Control]=B87)&amp;CHAR(10)),""),
IFERROR(_xlfn.CONCAT(_xlfn._xlws.FILTER(Mapping_Non_Cyber_Servers[Scope],Mapping_Non_Cyber_Servers[NIST Control]=B87)&amp;CHAR(10)),"")
)</f>
        <v/>
      </c>
    </row>
    <row r="88" spans="1:19" ht="43.5">
      <c r="A88" s="31" t="s">
        <v>26</v>
      </c>
      <c r="B88" s="134" t="s">
        <v>165</v>
      </c>
      <c r="C88" s="31" t="s">
        <v>781</v>
      </c>
      <c r="D88"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88" s="33">
        <f>Dashboard_Per_Control[[#This Row],[Total yearly CO2e emissions (kgCO2e)]]/(1000*Total)</f>
        <v>0</v>
      </c>
      <c r="F88" s="190">
        <f xml:space="preserve">
SUMIF(Mapping_Devices_Workstation_Laptop[NIST Control],B88,Mapping_Devices_Workstation_Laptop[Total emissions (kgC02e)])
+SUMIF(Mapping_Devices_Workstation_Desktop[NIST Control],B88,Mapping_Devices_Workstation_Desktop[Total emissions (kgC02e)])
+SUMIF(Mapping_Devices_Screens[NIST Control],B88,Mapping_Devices_Screens[Total emissions (kgC02e)])+SUMIF(Mapping_Devices_Smartphone[NIST Control],B88,Mapping_Devices_Smartphone[Total emissions (kgC02e)])</f>
        <v>0</v>
      </c>
      <c r="G88" s="191" t="str" cm="1">
        <f t="array" ref="G88">_xlfn.CONCAT(
IFERROR(_xlfn.CONCAT(_xlfn._xlws.FILTER(Mapping_Devices_Workstation_Laptop[Scope],Mapping_Devices_Workstation_Laptop[NIST Control]=B88)&amp;CHAR(10)),""),
IFERROR(_xlfn.CONCAT(_xlfn._xlws.FILTER(#REF!,#REF!=B88)&amp;CHAR(10)),""),
IFERROR(_xlfn.CONCAT(_xlfn._xlws.FILTER(Mapping_Devices_Screens[Scope],Mapping_Devices_Screens[NIST Control]=B88)&amp;CHAR(10)),""),
IFERROR(_xlfn.CONCAT(_xlfn._xlws.FILTER(Mapping_Devices_Smartphone[Scope],Mapping_Devices_Smartphone[NIST Control]=B88)&amp;CHAR(10)),"")
)</f>
        <v/>
      </c>
      <c r="H88" s="190">
        <f>SUMIF(Mapping_Appliance[NIST Control],B88,Mapping_Appliance[Total emissions (kgC02e)])</f>
        <v>0</v>
      </c>
      <c r="I88" s="191" t="str" cm="1">
        <f t="array" ref="I88">IFERROR(_xlfn.CONCAT(_xlfn._xlws.FILTER(Mapping_Appliance[Scope],Mapping_Appliance[NIST Control]=B88)&amp;CHAR(10)),"")</f>
        <v/>
      </c>
      <c r="J88" s="190">
        <f>SUMIF(Mapping_Servers_Backup[NIST Control],B88,Mapping_Servers_Backup[Total emissions (kgC02e)])</f>
        <v>0</v>
      </c>
      <c r="K88" s="191" t="str" cm="1">
        <f t="array" ref="K88">_xlfn.CONCAT(
IFERROR(_xlfn.CONCAT(_xlfn._xlws.FILTER(Mapping_Non_Cyber_Servers[Scope],Mapping_Non_Cyber_Servers[NIST Control]=B88)&amp;CHAR(10)),""),
IFERROR(_xlfn.CONCAT(_xlfn._xlws.FILTER(Mapping_Servers_Backup[Scope],Mapping_Servers_Backup[NIST Control]=B88)&amp;CHAR(10)),""),
)</f>
        <v/>
      </c>
      <c r="L88" s="190">
        <f>SUMIF(Mapping_Solutions_On_Premise[NIST Control],B88,Mapping_Solutions_On_Premise[Total NIST carbon emission (kgCO2e)])
+SUMIF(Mapping_Solutions_Cloud[NIST Control],B88,Mapping_Solutions_Cloud[Total NIST carbon emission (kgCO2e)])</f>
        <v>0</v>
      </c>
      <c r="M88" s="191" t="str" cm="1">
        <f t="array" ref="M88">_xlfn.CONCAT(
IFERROR(_xlfn.CONCAT(_xlfn._xlws.FILTER(Mapping_Solutions_On_Premise[Application name],#REF!=B88)&amp;CHAR(10)),""),
IFERROR(_xlfn.CONCAT(_xlfn._xlws.FILTER(Mapping_Solutions_Cloud[Application name],#REF!=B88)&amp;CHAR(10)),"")
)</f>
        <v/>
      </c>
      <c r="N88" s="190">
        <f>SUMIF(Mapping_Externals_TM[NIST Control],B88,Mapping_Externals_TM[NIST carbon emission (kgCO2e)])
+SUMIF(Mapping_Externals_Fixed_Price[NIST Control],B88,Mapping_Externals_Fixed_Price[NIST carbon emission (kgCO2e)])</f>
        <v>0</v>
      </c>
      <c r="O88" s="191" t="str" cm="1">
        <f t="array" ref="O88">_xlfn.CONCAT(
IFERROR(_xlfn.CONCAT(_xlfn._xlws.FILTER(Mapping_Externals_TM[Service name],#REF!=B88)&amp;CHAR(10)),""),
IFERROR(_xlfn.CONCAT(_xlfn._xlws.FILTER(Mapping_Externals_Fixed_Price[Service name],#REF!=B88)&amp;CHAR(10)),""))</f>
        <v/>
      </c>
      <c r="P88" s="190">
        <f>SUMIF(Mapping_Travel[NIST Control],B88,Mapping_Travel[Total emissions (kgC02e)])</f>
        <v>0</v>
      </c>
      <c r="Q88" s="192" t="str" cm="1">
        <f t="array" ref="Q88">IFERROR(_xlfn.CONCAT(_xlfn._xlws.FILTER(Mapping_Travel[Type of transportation],Mapping_Travel[NIST Control]=B88)&amp;CHAR(10)),"")</f>
        <v/>
      </c>
      <c r="R88" s="190">
        <f>SUMIF(Mapping_Non_Cyber_Workstation_Laptop[NIST Control],B88,Mapping_Non_Cyber_Workstation_Laptop[Total emissions (kgC02e)])
+SUMIF(Mapping_Non_Cyber_Workstation_Desktop[NIST Control],B88,Mapping_Non_Cyber_Workstation_Desktop[Total emissions (kgC02e)])
+SUMIF(Mapping_Non_Cyber_VDI[NIST Control],B88,Mapping_Non_Cyber_VDI[Total emissions (kgC02e)])
+SUMIF(Mapping_Non_Cyber_Servers[NIST Control],B88,Mapping_Non_Cyber_Servers[Total emissions (kgC02e)])</f>
        <v>0</v>
      </c>
      <c r="S88" s="191" t="str" cm="1">
        <f t="array" ref="S88">_xlfn.CONCAT(
IFERROR(_xlfn.CONCAT(_xlfn._xlws.FILTER(Mapping_Non_Cyber_Workstation_Laptop[Scope],Mapping_Non_Cyber_Workstation_Laptop[NIST Control]=B88)&amp;CHAR(10)),""),
IFERROR(_xlfn.CONCAT(_xlfn._xlws.FILTER(Mapping_Non_Cyber_Workstation_Desktop[Scope],Mapping_Non_Cyber_Workstation_Desktop[NIST Control]=B88)&amp;CHAR(10)),""),
IFERROR(_xlfn.CONCAT(_xlfn._xlws.FILTER(Mapping_Non_Cyber_VDI[Scope],Mapping_Non_Cyber_VDI[NIST Control]=B88)&amp;CHAR(10)),""),
IFERROR(_xlfn.CONCAT(_xlfn._xlws.FILTER(Mapping_Non_Cyber_Servers[Scope],Mapping_Non_Cyber_Servers[NIST Control]=B88)&amp;CHAR(10)),"")
)</f>
        <v/>
      </c>
    </row>
    <row r="89" spans="1:19" ht="29.1">
      <c r="A89" s="27" t="s">
        <v>26</v>
      </c>
      <c r="B89" s="134" t="s">
        <v>167</v>
      </c>
      <c r="C89" s="27" t="s">
        <v>782</v>
      </c>
      <c r="D89"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0</v>
      </c>
      <c r="E89" s="33">
        <f>Dashboard_Per_Control[[#This Row],[Total yearly CO2e emissions (kgCO2e)]]/(1000*Total)</f>
        <v>0</v>
      </c>
      <c r="F89" s="190">
        <f xml:space="preserve">
SUMIF(Mapping_Devices_Workstation_Laptop[NIST Control],B89,Mapping_Devices_Workstation_Laptop[Total emissions (kgC02e)])
+SUMIF(Mapping_Devices_Workstation_Desktop[NIST Control],B89,Mapping_Devices_Workstation_Desktop[Total emissions (kgC02e)])
+SUMIF(Mapping_Devices_Screens[NIST Control],B89,Mapping_Devices_Screens[Total emissions (kgC02e)])+SUMIF(Mapping_Devices_Smartphone[NIST Control],B89,Mapping_Devices_Smartphone[Total emissions (kgC02e)])</f>
        <v>0</v>
      </c>
      <c r="G89" s="191" t="str" cm="1">
        <f t="array" ref="G89">_xlfn.CONCAT(
IFERROR(_xlfn.CONCAT(_xlfn._xlws.FILTER(Mapping_Devices_Workstation_Laptop[Scope],Mapping_Devices_Workstation_Laptop[NIST Control]=B89)&amp;CHAR(10)),""),
IFERROR(_xlfn.CONCAT(_xlfn._xlws.FILTER(#REF!,#REF!=B89)&amp;CHAR(10)),""),
IFERROR(_xlfn.CONCAT(_xlfn._xlws.FILTER(Mapping_Devices_Screens[Scope],Mapping_Devices_Screens[NIST Control]=B89)&amp;CHAR(10)),""),
IFERROR(_xlfn.CONCAT(_xlfn._xlws.FILTER(Mapping_Devices_Smartphone[Scope],Mapping_Devices_Smartphone[NIST Control]=B89)&amp;CHAR(10)),"")
)</f>
        <v/>
      </c>
      <c r="H89" s="190">
        <f>SUMIF(Mapping_Appliance[NIST Control],B89,Mapping_Appliance[Total emissions (kgC02e)])</f>
        <v>0</v>
      </c>
      <c r="I89" s="191" t="str" cm="1">
        <f t="array" ref="I89">IFERROR(_xlfn.CONCAT(_xlfn._xlws.FILTER(Mapping_Appliance[Scope],Mapping_Appliance[NIST Control]=B89)&amp;CHAR(10)),"")</f>
        <v/>
      </c>
      <c r="J89" s="190">
        <f>SUMIF(Mapping_Servers_Backup[NIST Control],B89,Mapping_Servers_Backup[Total emissions (kgC02e)])</f>
        <v>0</v>
      </c>
      <c r="K89" s="191" t="str" cm="1">
        <f t="array" ref="K89">_xlfn.CONCAT(
IFERROR(_xlfn.CONCAT(_xlfn._xlws.FILTER(Mapping_Non_Cyber_Servers[Scope],Mapping_Non_Cyber_Servers[NIST Control]=B89)&amp;CHAR(10)),""),
IFERROR(_xlfn.CONCAT(_xlfn._xlws.FILTER(Mapping_Servers_Backup[Scope],Mapping_Servers_Backup[NIST Control]=B89)&amp;CHAR(10)),""),
)</f>
        <v/>
      </c>
      <c r="L89" s="190">
        <f>SUMIF(Mapping_Solutions_On_Premise[NIST Control],B89,Mapping_Solutions_On_Premise[Total NIST carbon emission (kgCO2e)])
+SUMIF(Mapping_Solutions_Cloud[NIST Control],B89,Mapping_Solutions_Cloud[Total NIST carbon emission (kgCO2e)])</f>
        <v>0</v>
      </c>
      <c r="M89" s="191" t="str" cm="1">
        <f t="array" ref="M89">_xlfn.CONCAT(
IFERROR(_xlfn.CONCAT(_xlfn._xlws.FILTER(Mapping_Solutions_On_Premise[Application name],#REF!=B89)&amp;CHAR(10)),""),
IFERROR(_xlfn.CONCAT(_xlfn._xlws.FILTER(Mapping_Solutions_Cloud[Application name],#REF!=B89)&amp;CHAR(10)),"")
)</f>
        <v/>
      </c>
      <c r="N89" s="190">
        <f>SUMIF(Mapping_Externals_TM[NIST Control],B89,Mapping_Externals_TM[NIST carbon emission (kgCO2e)])
+SUMIF(Mapping_Externals_Fixed_Price[NIST Control],B89,Mapping_Externals_Fixed_Price[NIST carbon emission (kgCO2e)])</f>
        <v>0</v>
      </c>
      <c r="O89" s="191" t="str" cm="1">
        <f t="array" ref="O89">_xlfn.CONCAT(
IFERROR(_xlfn.CONCAT(_xlfn._xlws.FILTER(Mapping_Externals_TM[Service name],#REF!=B89)&amp;CHAR(10)),""),
IFERROR(_xlfn.CONCAT(_xlfn._xlws.FILTER(Mapping_Externals_Fixed_Price[Service name],#REF!=B89)&amp;CHAR(10)),""))</f>
        <v/>
      </c>
      <c r="P89" s="190">
        <f>SUMIF(Mapping_Travel[NIST Control],B89,Mapping_Travel[Total emissions (kgC02e)])</f>
        <v>0</v>
      </c>
      <c r="Q89" s="192" t="str" cm="1">
        <f t="array" ref="Q89">IFERROR(_xlfn.CONCAT(_xlfn._xlws.FILTER(Mapping_Travel[Type of transportation],Mapping_Travel[NIST Control]=B89)&amp;CHAR(10)),"")</f>
        <v/>
      </c>
      <c r="R89" s="190">
        <f>SUMIF(Mapping_Non_Cyber_Workstation_Laptop[NIST Control],B89,Mapping_Non_Cyber_Workstation_Laptop[Total emissions (kgC02e)])
+SUMIF(Mapping_Non_Cyber_Workstation_Desktop[NIST Control],B89,Mapping_Non_Cyber_Workstation_Desktop[Total emissions (kgC02e)])
+SUMIF(Mapping_Non_Cyber_VDI[NIST Control],B89,Mapping_Non_Cyber_VDI[Total emissions (kgC02e)])
+SUMIF(Mapping_Non_Cyber_Servers[NIST Control],B89,Mapping_Non_Cyber_Servers[Total emissions (kgC02e)])</f>
        <v>0</v>
      </c>
      <c r="S89" s="191" t="str" cm="1">
        <f t="array" ref="S89">_xlfn.CONCAT(
IFERROR(_xlfn.CONCAT(_xlfn._xlws.FILTER(Mapping_Non_Cyber_Workstation_Laptop[Scope],Mapping_Non_Cyber_Workstation_Laptop[NIST Control]=B89)&amp;CHAR(10)),""),
IFERROR(_xlfn.CONCAT(_xlfn._xlws.FILTER(Mapping_Non_Cyber_Workstation_Desktop[Scope],Mapping_Non_Cyber_Workstation_Desktop[NIST Control]=B89)&amp;CHAR(10)),""),
IFERROR(_xlfn.CONCAT(_xlfn._xlws.FILTER(Mapping_Non_Cyber_VDI[Scope],Mapping_Non_Cyber_VDI[NIST Control]=B89)&amp;CHAR(10)),""),
IFERROR(_xlfn.CONCAT(_xlfn._xlws.FILTER(Mapping_Non_Cyber_Servers[Scope],Mapping_Non_Cyber_Servers[NIST Control]=B89)&amp;CHAR(10)),"")
)</f>
        <v/>
      </c>
    </row>
    <row r="90" spans="1:19" ht="29.1">
      <c r="A90" s="137" t="s">
        <v>27</v>
      </c>
      <c r="B90" s="136" t="s">
        <v>169</v>
      </c>
      <c r="C90" s="137" t="s">
        <v>783</v>
      </c>
      <c r="D90" s="52">
        <f>Dashboard_Per_Control[[#This Row],[Cyber Devices emissions kgCO2e]]+Dashboard_Per_Control[[#This Row],[Network emissions kgCO2e]]+Dashboard_Per_Control[[#This Row],[Backup servers emissions kgCO2e]]+Dashboard_Per_Control[[#This Row],[Cyber software infra emissions kgCO2e]]+Dashboard_Per_Control[[#This Row],[External services emissions kgCO2e]]+Dashboard_Per_Control[[#This Row],[Travel emissions kgCO2e]]+Dashboard_Per_Control[[#This Row],[Non cyber equiments emissions kgCO2e2]]</f>
        <v>1963718.6593110394</v>
      </c>
      <c r="E90" s="33">
        <f>Dashboard_Per_Control[[#This Row],[Total yearly CO2e emissions (kgCO2e)]]/(1000*Total)</f>
        <v>0.36794577612758012</v>
      </c>
      <c r="F90" s="190">
        <f xml:space="preserve">
SUMIF(Mapping_Devices_Workstation_Laptop[NIST Control],B90,Mapping_Devices_Workstation_Laptop[Total emissions (kgC02e)])
+SUMIF(Mapping_Devices_Workstation_Desktop[NIST Control],B90,Mapping_Devices_Workstation_Desktop[Total emissions (kgC02e)])
+SUMIF(Mapping_Devices_Screens[NIST Control],B90,Mapping_Devices_Screens[Total emissions (kgC02e)])+SUMIF(Mapping_Devices_Smartphone[NIST Control],B90,Mapping_Devices_Smartphone[Total emissions (kgC02e)])</f>
        <v>0</v>
      </c>
      <c r="G90" s="191" t="str" cm="1">
        <f t="array" ref="G90">_xlfn.CONCAT(
IFERROR(_xlfn.CONCAT(_xlfn._xlws.FILTER(Mapping_Devices_Workstation_Laptop[Scope],Mapping_Devices_Workstation_Laptop[NIST Control]=B90)&amp;CHAR(10)),""),
IFERROR(_xlfn.CONCAT(_xlfn._xlws.FILTER(#REF!,#REF!=B90)&amp;CHAR(10)),""),
IFERROR(_xlfn.CONCAT(_xlfn._xlws.FILTER(Mapping_Devices_Screens[Scope],Mapping_Devices_Screens[NIST Control]=B90)&amp;CHAR(10)),""),
IFERROR(_xlfn.CONCAT(_xlfn._xlws.FILTER(Mapping_Devices_Smartphone[Scope],Mapping_Devices_Smartphone[NIST Control]=B90)&amp;CHAR(10)),"")
)</f>
        <v/>
      </c>
      <c r="H90" s="193">
        <f>SUMIF(Mapping_Appliance[NIST Control],B90,Mapping_Appliance[Total emissions (kgC02e)])</f>
        <v>0</v>
      </c>
      <c r="I90" s="194" t="str" cm="1">
        <f t="array" ref="I90">IFERROR(_xlfn.CONCAT(_xlfn._xlws.FILTER(Mapping_Appliance[Scope],Mapping_Appliance[NIST Control]=B90)&amp;CHAR(10)),"")</f>
        <v/>
      </c>
      <c r="J90" s="193">
        <f>SUMIF(Mapping_Servers_Backup[NIST Control],B90,Mapping_Servers_Backup[Total emissions (kgC02e)])</f>
        <v>0</v>
      </c>
      <c r="K90" s="194" t="str" cm="1">
        <f t="array" ref="K90">_xlfn.CONCAT(
IFERROR(_xlfn.CONCAT(_xlfn._xlws.FILTER(Mapping_Non_Cyber_Servers[Scope],Mapping_Non_Cyber_Servers[NIST Control]=B90)&amp;CHAR(10)),""),
IFERROR(_xlfn.CONCAT(_xlfn._xlws.FILTER(Mapping_Servers_Backup[Scope],Mapping_Servers_Backup[NIST Control]=B90)&amp;CHAR(10)),""),
)</f>
        <v/>
      </c>
      <c r="L90" s="193">
        <f>SUMIF(Mapping_Solutions_On_Premise[NIST Control],B90,Mapping_Solutions_On_Premise[Total NIST carbon emission (kgCO2e)])
+SUMIF(Mapping_Solutions_Cloud[NIST Control],B90,Mapping_Solutions_Cloud[Total NIST carbon emission (kgCO2e)])</f>
        <v>1595568.666</v>
      </c>
      <c r="M90" s="191" t="str" cm="1">
        <f t="array" ref="M90">_xlfn.CONCAT(
IFERROR(_xlfn.CONCAT(_xlfn._xlws.FILTER(Mapping_Solutions_On_Premise[Application name],#REF!=B90)&amp;CHAR(10)),""),
IFERROR(_xlfn.CONCAT(_xlfn._xlws.FILTER(Mapping_Solutions_Cloud[Application name],#REF!=B90)&amp;CHAR(10)),"")
)</f>
        <v/>
      </c>
      <c r="N90" s="193">
        <f>SUMIF(Mapping_Externals_TM[NIST Control],B90,Mapping_Externals_TM[NIST carbon emission (kgCO2e)])
+SUMIF(Mapping_Externals_Fixed_Price[NIST Control],B90,Mapping_Externals_Fixed_Price[NIST carbon emission (kgCO2e)])</f>
        <v>368149.99331103952</v>
      </c>
      <c r="O90" s="194" t="str" cm="1">
        <f t="array" ref="O90">_xlfn.CONCAT(
IFERROR(_xlfn.CONCAT(_xlfn._xlws.FILTER(Mapping_Externals_TM[Service name],#REF!=B90)&amp;CHAR(10)),""),
IFERROR(_xlfn.CONCAT(_xlfn._xlws.FILTER(Mapping_Externals_Fixed_Price[Service name],#REF!=B90)&amp;CHAR(10)),""))</f>
        <v/>
      </c>
      <c r="P90" s="193">
        <f>SUMIF(Mapping_Travel[NIST Control],B90,Mapping_Travel[Total emissions (kgC02e)])</f>
        <v>0</v>
      </c>
      <c r="Q90" s="195" t="str" cm="1">
        <f t="array" ref="Q90">IFERROR(_xlfn.CONCAT(_xlfn._xlws.FILTER(Mapping_Travel[Type of transportation],Mapping_Travel[NIST Control]=B90)&amp;CHAR(10)),"")</f>
        <v/>
      </c>
      <c r="R90" s="193">
        <f>SUMIF(Mapping_Non_Cyber_Workstation_Laptop[NIST Control],B90,Mapping_Non_Cyber_Workstation_Laptop[Total emissions (kgC02e)])
+SUMIF(Mapping_Non_Cyber_Workstation_Desktop[NIST Control],B90,Mapping_Non_Cyber_Workstation_Desktop[Total emissions (kgC02e)])
+SUMIF(Mapping_Non_Cyber_VDI[NIST Control],B90,Mapping_Non_Cyber_VDI[Total emissions (kgC02e)])
+SUMIF(Mapping_Non_Cyber_Servers[NIST Control],B90,Mapping_Non_Cyber_Servers[Total emissions (kgC02e)])</f>
        <v>0</v>
      </c>
      <c r="S90" s="194" t="str" cm="1">
        <f t="array" ref="S90">_xlfn.CONCAT(
IFERROR(_xlfn.CONCAT(_xlfn._xlws.FILTER(Mapping_Non_Cyber_Workstation_Laptop[Scope],Mapping_Non_Cyber_Workstation_Laptop[NIST Control]=B90)&amp;CHAR(10)),""),
IFERROR(_xlfn.CONCAT(_xlfn._xlws.FILTER(Mapping_Non_Cyber_Workstation_Desktop[Scope],Mapping_Non_Cyber_Workstation_Desktop[NIST Control]=B90)&amp;CHAR(10)),""),
IFERROR(_xlfn.CONCAT(_xlfn._xlws.FILTER(Mapping_Non_Cyber_VDI[Scope],Mapping_Non_Cyber_VDI[NIST Control]=B90)&amp;CHAR(10)),""),
IFERROR(_xlfn.CONCAT(_xlfn._xlws.FILTER(Mapping_Non_Cyber_Servers[Scope],Mapping_Non_Cyber_Servers[NIST Control]=B90)&amp;CHAR(10)),"")
)</f>
        <v/>
      </c>
    </row>
  </sheetData>
  <sortState xmlns:xlrd2="http://schemas.microsoft.com/office/spreadsheetml/2017/richdata2" ref="B20:Q90">
    <sortCondition ref="B21:B90"/>
  </sortState>
  <conditionalFormatting sqref="F21:Q90">
    <cfRule type="expression" dxfId="63" priority="4">
      <formula>(F21&gt;0)*(F21&lt;&gt;"")</formula>
    </cfRule>
  </conditionalFormatting>
  <conditionalFormatting sqref="R21:R90">
    <cfRule type="expression" dxfId="62" priority="1">
      <formula>(R21&gt;0)*(R21&lt;&gt;"")</formula>
    </cfRule>
  </conditionalFormatting>
  <conditionalFormatting sqref="S21:S90">
    <cfRule type="expression" dxfId="61" priority="2">
      <formula>(S21&gt;0)*(S21&lt;&gt;"")</formula>
    </cfRule>
  </conditionalFormatting>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4390F-1145-458D-8234-2521306F6856}">
  <sheetPr>
    <tabColor theme="5" tint="0.39997558519241921"/>
  </sheetPr>
  <dimension ref="A1:J241"/>
  <sheetViews>
    <sheetView showGridLines="0" zoomScale="40" zoomScaleNormal="40" workbookViewId="0">
      <selection activeCell="B25" sqref="B25:H38"/>
    </sheetView>
  </sheetViews>
  <sheetFormatPr defaultColWidth="11.42578125" defaultRowHeight="14.45"/>
  <cols>
    <col min="1" max="1" width="23.42578125" customWidth="1"/>
    <col min="2" max="2" width="43.140625" customWidth="1"/>
    <col min="3" max="3" width="14.5703125" customWidth="1"/>
    <col min="4" max="4" width="24.42578125" customWidth="1"/>
    <col min="5" max="5" width="20.85546875" customWidth="1"/>
    <col min="6" max="6" width="19.42578125" customWidth="1"/>
    <col min="8" max="8" width="27.5703125" customWidth="1"/>
  </cols>
  <sheetData>
    <row r="1" spans="1:3">
      <c r="A1" s="129" t="s">
        <v>696</v>
      </c>
      <c r="B1" s="130">
        <f>Total</f>
        <v>5336.9783993121509</v>
      </c>
    </row>
    <row r="5" spans="1:3">
      <c r="A5" s="50" t="s">
        <v>784</v>
      </c>
      <c r="B5" s="50" t="s">
        <v>785</v>
      </c>
      <c r="C5" s="50" t="s">
        <v>786</v>
      </c>
    </row>
    <row r="6" spans="1:3">
      <c r="A6" t="s">
        <v>14</v>
      </c>
      <c r="B6"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0</v>
      </c>
      <c r="C6" s="53">
        <f>Tableau85[[#This Row],[tCO2e]]/$B$1</f>
        <v>0</v>
      </c>
    </row>
    <row r="7" spans="1:3">
      <c r="A7" t="s">
        <v>15</v>
      </c>
      <c r="B7"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1622.6427868316812</v>
      </c>
      <c r="C7" s="53">
        <f>Tableau85[[#This Row],[tCO2e]]/$B$1</f>
        <v>0.30403772798496115</v>
      </c>
    </row>
    <row r="8" spans="1:3">
      <c r="A8" t="s">
        <v>16</v>
      </c>
      <c r="B8"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0</v>
      </c>
      <c r="C8" s="53">
        <f>Tableau85[[#This Row],[tCO2e]]/$B$1</f>
        <v>0</v>
      </c>
    </row>
    <row r="9" spans="1:3">
      <c r="A9" t="s">
        <v>17</v>
      </c>
      <c r="B9"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0</v>
      </c>
      <c r="C9" s="53">
        <f>Tableau85[[#This Row],[tCO2e]]/$B$1</f>
        <v>0</v>
      </c>
    </row>
    <row r="10" spans="1:3">
      <c r="A10" t="s">
        <v>18</v>
      </c>
      <c r="B10"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15.972790834285716</v>
      </c>
      <c r="C10" s="53">
        <f>Tableau85[[#This Row],[tCO2e]]/$B$1</f>
        <v>2.9928528165570891E-3</v>
      </c>
    </row>
    <row r="11" spans="1:3">
      <c r="A11" t="s">
        <v>19</v>
      </c>
      <c r="B11"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1.5960111374999999</v>
      </c>
      <c r="C11" s="53">
        <f>Tableau85[[#This Row],[tCO2e]]/$B$1</f>
        <v>2.9904770416640616E-4</v>
      </c>
    </row>
    <row r="12" spans="1:3">
      <c r="A12" t="s">
        <v>20</v>
      </c>
      <c r="B12"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407.18086906166667</v>
      </c>
      <c r="C12" s="53">
        <f>Tableau85[[#This Row],[tCO2e]]/$B$1</f>
        <v>7.6294269640316631E-2</v>
      </c>
    </row>
    <row r="13" spans="1:3">
      <c r="A13" t="s">
        <v>21</v>
      </c>
      <c r="B13"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0</v>
      </c>
      <c r="C13" s="53">
        <f>Tableau85[[#This Row],[tCO2e]]/$B$1</f>
        <v>0</v>
      </c>
    </row>
    <row r="14" spans="1:3">
      <c r="A14" t="s">
        <v>22</v>
      </c>
      <c r="B14"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0</v>
      </c>
      <c r="C14" s="53">
        <f>Tableau85[[#This Row],[tCO2e]]/$B$1</f>
        <v>0</v>
      </c>
    </row>
    <row r="15" spans="1:3">
      <c r="A15" t="s">
        <v>23</v>
      </c>
      <c r="B15"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1273.2061585702072</v>
      </c>
      <c r="C15" s="53">
        <f>Tableau85[[#This Row],[tCO2e]]/$B$1</f>
        <v>0.23856310880596829</v>
      </c>
    </row>
    <row r="16" spans="1:3">
      <c r="A16" t="s">
        <v>24</v>
      </c>
      <c r="B16"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0</v>
      </c>
      <c r="C16" s="53">
        <f>Tableau85[[#This Row],[tCO2e]]/$B$1</f>
        <v>0</v>
      </c>
    </row>
    <row r="17" spans="1:8">
      <c r="A17" t="s">
        <v>25</v>
      </c>
      <c r="B17"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19.264526658695555</v>
      </c>
      <c r="C17" s="53">
        <f>Tableau85[[#This Row],[tCO2e]]/$B$1</f>
        <v>3.6096317461540481E-3</v>
      </c>
    </row>
    <row r="18" spans="1:8">
      <c r="A18" t="s">
        <v>26</v>
      </c>
      <c r="B18"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0.31970883174120279</v>
      </c>
      <c r="C18" s="53">
        <f>Tableau85[[#This Row],[tCO2e]]/$B$1</f>
        <v>5.9904464253107719E-5</v>
      </c>
    </row>
    <row r="19" spans="1:8">
      <c r="A19" t="s">
        <v>27</v>
      </c>
      <c r="B19" s="24">
        <f>(_xlfn.XLOOKUP(Tableau85[[#This Row],[Topic]],Mapping_Device_Results_by_TOPIC[Topics],Mapping_Device_Results_by_TOPIC[Total Devices emissions (kgCO2e)])
+_xlfn.XLOOKUP(Tableau85[[#This Row],[Topic]],Mapping_External_Results_by_TOPIC[Topics],Mapping_External_Results_by_TOPIC[Total External services emissions (kgCO2e)])
+_xlfn.XLOOKUP(Tableau85[[#This Row],[Topic]],Mapping_Network_Results_by_TOPIC[Topics],Mapping_Network_Results_by_TOPIC[Appliances emissions (kgCO2e)])
+_xlfn.XLOOKUP(Tableau85[[#This Row],[Topic]],Mapping_Servers_Results_by_TOPIC[Topics],Mapping_Servers_Results_by_TOPIC[Total severs on premise emissions (kgCO2e)])
+_xlfn.XLOOKUP(Tableau85[[#This Row],[Topic]],Mapping_Solutions_Results_by_TOPIC[Topics],Mapping_Solutions_Results_by_TOPIC[Total Cyber solution emissions (kgCO2e)])
+_xlfn.XLOOKUP(Tableau85[[#This Row],[Topic]],Mapping_Travel_Results_by_TOPIC[Topics],Mapping_Travel_Results_by_TOPIC[Total Travel (kgCO2e)]))/1000</f>
        <v>1963.7186593110393</v>
      </c>
      <c r="C19" s="53">
        <f>Tableau85[[#This Row],[tCO2e]]/$B$1</f>
        <v>0.36794577612758006</v>
      </c>
    </row>
    <row r="23" spans="1:8">
      <c r="B23" s="329" t="s">
        <v>787</v>
      </c>
      <c r="C23" s="329"/>
      <c r="D23" s="329"/>
      <c r="E23" s="329"/>
      <c r="F23" s="329"/>
      <c r="G23" s="329"/>
    </row>
    <row r="24" spans="1:8" ht="29.1">
      <c r="A24" s="50" t="s">
        <v>784</v>
      </c>
      <c r="B24" s="3" t="s">
        <v>193</v>
      </c>
      <c r="C24" s="3" t="s">
        <v>194</v>
      </c>
      <c r="D24" s="3" t="s">
        <v>788</v>
      </c>
      <c r="E24" s="5" t="s">
        <v>789</v>
      </c>
      <c r="F24" s="3" t="s">
        <v>197</v>
      </c>
      <c r="G24" s="3" t="s">
        <v>198</v>
      </c>
      <c r="H24" s="5" t="s">
        <v>790</v>
      </c>
    </row>
    <row r="25" spans="1:8">
      <c r="A25" s="111" t="s">
        <v>14</v>
      </c>
      <c r="B25" s="24">
        <f>_xlfn.XLOOKUP(Tableau6[[#This Row],[Topic]],Mapping_Device_Results_by_TOPIC[Topics],Mapping_Device_Results_by_TOPIC[Total Devices emissions (kgCO2e)])/1000</f>
        <v>0</v>
      </c>
      <c r="C25" s="24">
        <f>_xlfn.XLOOKUP(Tableau6[[#This Row],[Topic]],Mapping_Network_Results_by_TOPIC[Topics],Mapping_Network_Results_by_TOPIC[Appliances emissions (kgCO2e)])/1000</f>
        <v>0</v>
      </c>
      <c r="D25" s="24">
        <f>_xlfn.XLOOKUP(Tableau6[[#This Row],[Topic]],Mapping_Servers_Results_by_TOPIC[Topics],Mapping_Servers_Results_by_TOPIC[Total severs on premise emissions (kgCO2e)])/1000</f>
        <v>0</v>
      </c>
      <c r="E25" s="24">
        <f>_xlfn.XLOOKUP(Tableau6[[#This Row],[Topic]],Mapping_Solutions_Results_by_TOPIC[Topics],Mapping_Solutions_Results_by_TOPIC[Total Cyber solution emissions (kgCO2e)])/1000</f>
        <v>0</v>
      </c>
      <c r="F25" s="24">
        <f>_xlfn.XLOOKUP(Tableau6[[#This Row],[Topic]],Mapping_External_Results_by_TOPIC[Topics],Mapping_External_Results_by_TOPIC[Total External services emissions (kgCO2e)])/1000</f>
        <v>0</v>
      </c>
      <c r="G25" s="24">
        <f>_xlfn.XLOOKUP(Tableau6[[#This Row],[Topic]],Mapping_Travel_Results_by_TOPIC[Topics],Mapping_Travel_Results_by_TOPIC[Total Travel (kgCO2e)])/1000</f>
        <v>0</v>
      </c>
      <c r="H25" s="208">
        <f>_xlfn.XLOOKUP(Tableau6[[#This Row],[Topic]],Mapping_Non_Cyber_Results_by_TOPIC[NIST Control],Mapping_Non_Cyber_Results_by_TOPIC[Total Log and Antivirus for non cybe equipments emissions (kgCO2e)])/1000</f>
        <v>0</v>
      </c>
    </row>
    <row r="26" spans="1:8">
      <c r="A26" s="111" t="s">
        <v>15</v>
      </c>
      <c r="B26" s="24">
        <f>_xlfn.XLOOKUP(Tableau6[[#This Row],[Topic]],Mapping_Device_Results_by_TOPIC[Topics],Mapping_Device_Results_by_TOPIC[Total Devices emissions (kgCO2e)])/1000</f>
        <v>0</v>
      </c>
      <c r="C26" s="24">
        <f>_xlfn.XLOOKUP(Tableau6[[#This Row],[Topic]],Mapping_Network_Results_by_TOPIC[Topics],Mapping_Network_Results_by_TOPIC[Appliances emissions (kgCO2e)])/1000</f>
        <v>0</v>
      </c>
      <c r="D26" s="24">
        <f>_xlfn.XLOOKUP(Tableau6[[#This Row],[Topic]],Mapping_Servers_Results_by_TOPIC[Topics],Mapping_Servers_Results_by_TOPIC[Total severs on premise emissions (kgCO2e)])/1000</f>
        <v>0</v>
      </c>
      <c r="E26" s="24">
        <f>_xlfn.XLOOKUP(Tableau6[[#This Row],[Topic]],Mapping_Solutions_Results_by_TOPIC[Topics],Mapping_Solutions_Results_by_TOPIC[Total Cyber solution emissions (kgCO2e)])/1000</f>
        <v>1615.2009471719625</v>
      </c>
      <c r="F26" s="24">
        <f>_xlfn.XLOOKUP(Tableau6[[#This Row],[Topic]],Mapping_External_Results_by_TOPIC[Topics],Mapping_External_Results_by_TOPIC[Total External services emissions (kgCO2e)])/1000</f>
        <v>7.4418396597186014</v>
      </c>
      <c r="G26" s="24">
        <f>_xlfn.XLOOKUP(Tableau6[[#This Row],[Topic]],Mapping_Travel_Results_by_TOPIC[Topics],Mapping_Travel_Results_by_TOPIC[Total Travel (kgCO2e)])/1000</f>
        <v>0</v>
      </c>
      <c r="H26" s="24">
        <f>_xlfn.XLOOKUP(Tableau6[[#This Row],[Topic]],Mapping_Non_Cyber_Results_by_TOPIC[NIST Control],Mapping_Non_Cyber_Results_by_TOPIC[Total Log and Antivirus for non cybe equipments emissions (kgCO2e)])/1000</f>
        <v>0</v>
      </c>
    </row>
    <row r="27" spans="1:8">
      <c r="A27" s="111" t="s">
        <v>16</v>
      </c>
      <c r="B27" s="24">
        <f>_xlfn.XLOOKUP(Tableau6[[#This Row],[Topic]],Mapping_Device_Results_by_TOPIC[Topics],Mapping_Device_Results_by_TOPIC[Total Devices emissions (kgCO2e)])/1000</f>
        <v>0</v>
      </c>
      <c r="C27" s="24">
        <f>_xlfn.XLOOKUP(Tableau6[[#This Row],[Topic]],Mapping_Network_Results_by_TOPIC[Topics],Mapping_Network_Results_by_TOPIC[Appliances emissions (kgCO2e)])/1000</f>
        <v>0</v>
      </c>
      <c r="D27" s="24">
        <f>_xlfn.XLOOKUP(Tableau6[[#This Row],[Topic]],Mapping_Servers_Results_by_TOPIC[Topics],Mapping_Servers_Results_by_TOPIC[Total severs on premise emissions (kgCO2e)])/1000</f>
        <v>0</v>
      </c>
      <c r="E27" s="24">
        <f>_xlfn.XLOOKUP(Tableau6[[#This Row],[Topic]],Mapping_Solutions_Results_by_TOPIC[Topics],Mapping_Solutions_Results_by_TOPIC[Total Cyber solution emissions (kgCO2e)])/1000</f>
        <v>0</v>
      </c>
      <c r="F27" s="24">
        <f>_xlfn.XLOOKUP(Tableau6[[#This Row],[Topic]],Mapping_External_Results_by_TOPIC[Topics],Mapping_External_Results_by_TOPIC[Total External services emissions (kgCO2e)])/1000</f>
        <v>0</v>
      </c>
      <c r="G27" s="24">
        <f>_xlfn.XLOOKUP(Tableau6[[#This Row],[Topic]],Mapping_Travel_Results_by_TOPIC[Topics],Mapping_Travel_Results_by_TOPIC[Total Travel (kgCO2e)])/1000</f>
        <v>0</v>
      </c>
      <c r="H27" s="24">
        <f>_xlfn.XLOOKUP(Tableau6[[#This Row],[Topic]],Mapping_Non_Cyber_Results_by_TOPIC[NIST Control],Mapping_Non_Cyber_Results_by_TOPIC[Total Log and Antivirus for non cybe equipments emissions (kgCO2e)])/1000</f>
        <v>0</v>
      </c>
    </row>
    <row r="28" spans="1:8">
      <c r="A28" s="111" t="s">
        <v>17</v>
      </c>
      <c r="B28" s="24">
        <f>_xlfn.XLOOKUP(Tableau6[[#This Row],[Topic]],Mapping_Device_Results_by_TOPIC[Topics],Mapping_Device_Results_by_TOPIC[Total Devices emissions (kgCO2e)])/1000</f>
        <v>0</v>
      </c>
      <c r="C28" s="24">
        <f>_xlfn.XLOOKUP(Tableau6[[#This Row],[Topic]],Mapping_Network_Results_by_TOPIC[Topics],Mapping_Network_Results_by_TOPIC[Appliances emissions (kgCO2e)])/1000</f>
        <v>0</v>
      </c>
      <c r="D28" s="24">
        <f>_xlfn.XLOOKUP(Tableau6[[#This Row],[Topic]],Mapping_Servers_Results_by_TOPIC[Topics],Mapping_Servers_Results_by_TOPIC[Total severs on premise emissions (kgCO2e)])/1000</f>
        <v>0</v>
      </c>
      <c r="E28" s="24">
        <f>_xlfn.XLOOKUP(Tableau6[[#This Row],[Topic]],Mapping_Solutions_Results_by_TOPIC[Topics],Mapping_Solutions_Results_by_TOPIC[Total Cyber solution emissions (kgCO2e)])/1000</f>
        <v>0</v>
      </c>
      <c r="F28" s="24">
        <f>_xlfn.XLOOKUP(Tableau6[[#This Row],[Topic]],Mapping_External_Results_by_TOPIC[Topics],Mapping_External_Results_by_TOPIC[Total External services emissions (kgCO2e)])/1000</f>
        <v>0</v>
      </c>
      <c r="G28" s="24">
        <f>_xlfn.XLOOKUP(Tableau6[[#This Row],[Topic]],Mapping_Travel_Results_by_TOPIC[Topics],Mapping_Travel_Results_by_TOPIC[Total Travel (kgCO2e)])/1000</f>
        <v>0</v>
      </c>
      <c r="H28" s="24">
        <f>_xlfn.XLOOKUP(Tableau6[[#This Row],[Topic]],Mapping_Non_Cyber_Results_by_TOPIC[NIST Control],Mapping_Non_Cyber_Results_by_TOPIC[Total Log and Antivirus for non cybe equipments emissions (kgCO2e)])/1000</f>
        <v>0</v>
      </c>
    </row>
    <row r="29" spans="1:8">
      <c r="A29" s="111" t="s">
        <v>18</v>
      </c>
      <c r="B29" s="24">
        <f>_xlfn.XLOOKUP(Tableau6[[#This Row],[Topic]],Mapping_Device_Results_by_TOPIC[Topics],Mapping_Device_Results_by_TOPIC[Total Devices emissions (kgCO2e)])/1000</f>
        <v>0</v>
      </c>
      <c r="C29" s="24">
        <f>_xlfn.XLOOKUP(Tableau6[[#This Row],[Topic]],Mapping_Network_Results_by_TOPIC[Topics],Mapping_Network_Results_by_TOPIC[Appliances emissions (kgCO2e)])/1000</f>
        <v>15.972790834285716</v>
      </c>
      <c r="D29" s="24">
        <f>_xlfn.XLOOKUP(Tableau6[[#This Row],[Topic]],Mapping_Servers_Results_by_TOPIC[Topics],Mapping_Servers_Results_by_TOPIC[Total severs on premise emissions (kgCO2e)])/1000</f>
        <v>0</v>
      </c>
      <c r="E29" s="24">
        <f>_xlfn.XLOOKUP(Tableau6[[#This Row],[Topic]],Mapping_Solutions_Results_by_TOPIC[Topics],Mapping_Solutions_Results_by_TOPIC[Total Cyber solution emissions (kgCO2e)])/1000</f>
        <v>0</v>
      </c>
      <c r="F29" s="24">
        <f>_xlfn.XLOOKUP(Tableau6[[#This Row],[Topic]],Mapping_External_Results_by_TOPIC[Topics],Mapping_External_Results_by_TOPIC[Total External services emissions (kgCO2e)])/1000</f>
        <v>0</v>
      </c>
      <c r="G29" s="24">
        <f>_xlfn.XLOOKUP(Tableau6[[#This Row],[Topic]],Mapping_Travel_Results_by_TOPIC[Topics],Mapping_Travel_Results_by_TOPIC[Total Travel (kgCO2e)])/1000</f>
        <v>0</v>
      </c>
      <c r="H29" s="24">
        <f>_xlfn.XLOOKUP(Tableau6[[#This Row],[Topic]],Mapping_Non_Cyber_Results_by_TOPIC[NIST Control],Mapping_Non_Cyber_Results_by_TOPIC[Total Log and Antivirus for non cybe equipments emissions (kgCO2e)])/1000</f>
        <v>8.1166390390833332</v>
      </c>
    </row>
    <row r="30" spans="1:8">
      <c r="A30" s="111" t="s">
        <v>19</v>
      </c>
      <c r="B30" s="24">
        <f>_xlfn.XLOOKUP(Tableau6[[#This Row],[Topic]],Mapping_Device_Results_by_TOPIC[Topics],Mapping_Device_Results_by_TOPIC[Total Devices emissions (kgCO2e)])/1000</f>
        <v>1.5960111374999999</v>
      </c>
      <c r="C30" s="24">
        <f>_xlfn.XLOOKUP(Tableau6[[#This Row],[Topic]],Mapping_Network_Results_by_TOPIC[Topics],Mapping_Network_Results_by_TOPIC[Appliances emissions (kgCO2e)])/1000</f>
        <v>0</v>
      </c>
      <c r="D30" s="24">
        <f>_xlfn.XLOOKUP(Tableau6[[#This Row],[Topic]],Mapping_Servers_Results_by_TOPIC[Topics],Mapping_Servers_Results_by_TOPIC[Total severs on premise emissions (kgCO2e)])/1000</f>
        <v>0</v>
      </c>
      <c r="E30" s="24">
        <f>_xlfn.XLOOKUP(Tableau6[[#This Row],[Topic]],Mapping_Solutions_Results_by_TOPIC[Topics],Mapping_Solutions_Results_by_TOPIC[Total Cyber solution emissions (kgCO2e)])/1000</f>
        <v>0</v>
      </c>
      <c r="F30" s="24">
        <f>_xlfn.XLOOKUP(Tableau6[[#This Row],[Topic]],Mapping_External_Results_by_TOPIC[Topics],Mapping_External_Results_by_TOPIC[Total External services emissions (kgCO2e)])/1000</f>
        <v>0</v>
      </c>
      <c r="G30" s="24">
        <f>_xlfn.XLOOKUP(Tableau6[[#This Row],[Topic]],Mapping_Travel_Results_by_TOPIC[Topics],Mapping_Travel_Results_by_TOPIC[Total Travel (kgCO2e)])/1000</f>
        <v>0</v>
      </c>
      <c r="H30" s="24">
        <f>_xlfn.XLOOKUP(Tableau6[[#This Row],[Topic]],Mapping_Non_Cyber_Results_by_TOPIC[NIST Control],Mapping_Non_Cyber_Results_by_TOPIC[Total Log and Antivirus for non cybe equipments emissions (kgCO2e)])/1000</f>
        <v>0.61033191900000006</v>
      </c>
    </row>
    <row r="31" spans="1:8">
      <c r="A31" s="111" t="s">
        <v>20</v>
      </c>
      <c r="B31" s="24">
        <f>_xlfn.XLOOKUP(Tableau6[[#This Row],[Topic]],Mapping_Device_Results_by_TOPIC[Topics],Mapping_Device_Results_by_TOPIC[Total Devices emissions (kgCO2e)])/1000</f>
        <v>21.934199041666666</v>
      </c>
      <c r="C31" s="24">
        <f>_xlfn.XLOOKUP(Tableau6[[#This Row],[Topic]],Mapping_Network_Results_by_TOPIC[Topics],Mapping_Network_Results_by_TOPIC[Appliances emissions (kgCO2e)])/1000</f>
        <v>0</v>
      </c>
      <c r="D31" s="24">
        <f>_xlfn.XLOOKUP(Tableau6[[#This Row],[Topic]],Mapping_Servers_Results_by_TOPIC[Topics],Mapping_Servers_Results_by_TOPIC[Total severs on premise emissions (kgCO2e)])/1000</f>
        <v>0</v>
      </c>
      <c r="E31" s="24">
        <f>_xlfn.XLOOKUP(Tableau6[[#This Row],[Topic]],Mapping_Solutions_Results_by_TOPIC[Topics],Mapping_Solutions_Results_by_TOPIC[Total Cyber solution emissions (kgCO2e)])/1000</f>
        <v>0</v>
      </c>
      <c r="F31" s="24">
        <f>_xlfn.XLOOKUP(Tableau6[[#This Row],[Topic]],Mapping_External_Results_by_TOPIC[Topics],Mapping_External_Results_by_TOPIC[Total External services emissions (kgCO2e)])/1000</f>
        <v>0</v>
      </c>
      <c r="G31" s="24">
        <f>_xlfn.XLOOKUP(Tableau6[[#This Row],[Topic]],Mapping_Travel_Results_by_TOPIC[Topics],Mapping_Travel_Results_by_TOPIC[Total Travel (kgCO2e)])/1000</f>
        <v>385.24667001999995</v>
      </c>
      <c r="H31" s="24">
        <f>_xlfn.XLOOKUP(Tableau6[[#This Row],[Topic]],Mapping_Non_Cyber_Results_by_TOPIC[NIST Control],Mapping_Non_Cyber_Results_by_TOPIC[Total Log and Antivirus for non cybe equipments emissions (kgCO2e)])/1000</f>
        <v>0</v>
      </c>
    </row>
    <row r="32" spans="1:8">
      <c r="A32" s="111" t="s">
        <v>21</v>
      </c>
      <c r="B32" s="24">
        <f>_xlfn.XLOOKUP(Tableau6[[#This Row],[Topic]],Mapping_Device_Results_by_TOPIC[Topics],Mapping_Device_Results_by_TOPIC[Total Devices emissions (kgCO2e)])/1000</f>
        <v>0</v>
      </c>
      <c r="C32" s="24">
        <f>_xlfn.XLOOKUP(Tableau6[[#This Row],[Topic]],Mapping_Network_Results_by_TOPIC[Topics],Mapping_Network_Results_by_TOPIC[Appliances emissions (kgCO2e)])/1000</f>
        <v>0</v>
      </c>
      <c r="D32" s="24">
        <f>_xlfn.XLOOKUP(Tableau6[[#This Row],[Topic]],Mapping_Servers_Results_by_TOPIC[Topics],Mapping_Servers_Results_by_TOPIC[Total severs on premise emissions (kgCO2e)])/1000</f>
        <v>0</v>
      </c>
      <c r="E32" s="24">
        <f>_xlfn.XLOOKUP(Tableau6[[#This Row],[Topic]],Mapping_Solutions_Results_by_TOPIC[Topics],Mapping_Solutions_Results_by_TOPIC[Total Cyber solution emissions (kgCO2e)])/1000</f>
        <v>0</v>
      </c>
      <c r="F32" s="24">
        <f>_xlfn.XLOOKUP(Tableau6[[#This Row],[Topic]],Mapping_External_Results_by_TOPIC[Topics],Mapping_External_Results_by_TOPIC[Total External services emissions (kgCO2e)])/1000</f>
        <v>0</v>
      </c>
      <c r="G32" s="24">
        <f>_xlfn.XLOOKUP(Tableau6[[#This Row],[Topic]],Mapping_Travel_Results_by_TOPIC[Topics],Mapping_Travel_Results_by_TOPIC[Total Travel (kgCO2e)])/1000</f>
        <v>0</v>
      </c>
      <c r="H32" s="24">
        <f>_xlfn.XLOOKUP(Tableau6[[#This Row],[Topic]],Mapping_Non_Cyber_Results_by_TOPIC[NIST Control],Mapping_Non_Cyber_Results_by_TOPIC[Total Log and Antivirus for non cybe equipments emissions (kgCO2e)])/1000</f>
        <v>0</v>
      </c>
    </row>
    <row r="33" spans="1:10">
      <c r="A33" s="111" t="s">
        <v>22</v>
      </c>
      <c r="B33" s="24">
        <f>_xlfn.XLOOKUP(Tableau6[[#This Row],[Topic]],Mapping_Device_Results_by_TOPIC[Topics],Mapping_Device_Results_by_TOPIC[Total Devices emissions (kgCO2e)])/1000</f>
        <v>0</v>
      </c>
      <c r="C33" s="24">
        <f>_xlfn.XLOOKUP(Tableau6[[#This Row],[Topic]],Mapping_Network_Results_by_TOPIC[Topics],Mapping_Network_Results_by_TOPIC[Appliances emissions (kgCO2e)])/1000</f>
        <v>0</v>
      </c>
      <c r="D33" s="24">
        <f>_xlfn.XLOOKUP(Tableau6[[#This Row],[Topic]],Mapping_Servers_Results_by_TOPIC[Topics],Mapping_Servers_Results_by_TOPIC[Total severs on premise emissions (kgCO2e)])/1000</f>
        <v>0</v>
      </c>
      <c r="E33" s="24">
        <f>_xlfn.XLOOKUP(Tableau6[[#This Row],[Topic]],Mapping_Solutions_Results_by_TOPIC[Topics],Mapping_Solutions_Results_by_TOPIC[Total Cyber solution emissions (kgCO2e)])/1000</f>
        <v>0</v>
      </c>
      <c r="F33" s="24">
        <f>_xlfn.XLOOKUP(Tableau6[[#This Row],[Topic]],Mapping_External_Results_by_TOPIC[Topics],Mapping_External_Results_by_TOPIC[Total External services emissions (kgCO2e)])/1000</f>
        <v>0</v>
      </c>
      <c r="G33" s="24">
        <f>_xlfn.XLOOKUP(Tableau6[[#This Row],[Topic]],Mapping_Travel_Results_by_TOPIC[Topics],Mapping_Travel_Results_by_TOPIC[Total Travel (kgCO2e)])/1000</f>
        <v>0</v>
      </c>
      <c r="H33" s="24">
        <f>_xlfn.XLOOKUP(Tableau6[[#This Row],[Topic]],Mapping_Non_Cyber_Results_by_TOPIC[NIST Control],Mapping_Non_Cyber_Results_by_TOPIC[Total Log and Antivirus for non cybe equipments emissions (kgCO2e)])/1000</f>
        <v>0</v>
      </c>
    </row>
    <row r="34" spans="1:10">
      <c r="A34" s="111" t="s">
        <v>23</v>
      </c>
      <c r="B34" s="24">
        <f>_xlfn.XLOOKUP(Tableau6[[#This Row],[Topic]],Mapping_Device_Results_by_TOPIC[Topics],Mapping_Device_Results_by_TOPIC[Total Devices emissions (kgCO2e)])/1000</f>
        <v>0</v>
      </c>
      <c r="C34" s="24">
        <f>_xlfn.XLOOKUP(Tableau6[[#This Row],[Topic]],Mapping_Network_Results_by_TOPIC[Topics],Mapping_Network_Results_by_TOPIC[Appliances emissions (kgCO2e)])/1000</f>
        <v>34.466492434285712</v>
      </c>
      <c r="D34" s="24">
        <f>_xlfn.XLOOKUP(Tableau6[[#This Row],[Topic]],Mapping_Servers_Results_by_TOPIC[Topics],Mapping_Servers_Results_by_TOPIC[Total severs on premise emissions (kgCO2e)])/1000</f>
        <v>0</v>
      </c>
      <c r="E34" s="24">
        <f>_xlfn.XLOOKUP(Tableau6[[#This Row],[Topic]],Mapping_Solutions_Results_by_TOPIC[Topics],Mapping_Solutions_Results_by_TOPIC[Total Cyber solution emissions (kgCO2e)])/1000</f>
        <v>1223.269311</v>
      </c>
      <c r="F34" s="24">
        <f>_xlfn.XLOOKUP(Tableau6[[#This Row],[Topic]],Mapping_External_Results_by_TOPIC[Topics],Mapping_External_Results_by_TOPIC[Total External services emissions (kgCO2e)])/1000</f>
        <v>15.470355135921537</v>
      </c>
      <c r="G34" s="24">
        <f>_xlfn.XLOOKUP(Tableau6[[#This Row],[Topic]],Mapping_Travel_Results_by_TOPIC[Topics],Mapping_Travel_Results_by_TOPIC[Total Travel (kgCO2e)])/1000</f>
        <v>0</v>
      </c>
      <c r="H34" s="24">
        <f>_xlfn.XLOOKUP(Tableau6[[#This Row],[Topic]],Mapping_Non_Cyber_Results_by_TOPIC[NIST Control],Mapping_Non_Cyber_Results_by_TOPIC[Total Log and Antivirus for non cybe equipments emissions (kgCO2e)])/1000</f>
        <v>0</v>
      </c>
    </row>
    <row r="35" spans="1:10">
      <c r="A35" s="111" t="s">
        <v>24</v>
      </c>
      <c r="B35" s="24">
        <f>_xlfn.XLOOKUP(Tableau6[[#This Row],[Topic]],Mapping_Device_Results_by_TOPIC[Topics],Mapping_Device_Results_by_TOPIC[Total Devices emissions (kgCO2e)])/1000</f>
        <v>0</v>
      </c>
      <c r="C35" s="24">
        <f>_xlfn.XLOOKUP(Tableau6[[#This Row],[Topic]],Mapping_Network_Results_by_TOPIC[Topics],Mapping_Network_Results_by_TOPIC[Appliances emissions (kgCO2e)])/1000</f>
        <v>0</v>
      </c>
      <c r="D35" s="24">
        <f>_xlfn.XLOOKUP(Tableau6[[#This Row],[Topic]],Mapping_Servers_Results_by_TOPIC[Topics],Mapping_Servers_Results_by_TOPIC[Total severs on premise emissions (kgCO2e)])/1000</f>
        <v>0</v>
      </c>
      <c r="E35" s="24">
        <f>_xlfn.XLOOKUP(Tableau6[[#This Row],[Topic]],Mapping_Solutions_Results_by_TOPIC[Topics],Mapping_Solutions_Results_by_TOPIC[Total Cyber solution emissions (kgCO2e)])/1000</f>
        <v>0</v>
      </c>
      <c r="F35" s="24">
        <f>_xlfn.XLOOKUP(Tableau6[[#This Row],[Topic]],Mapping_External_Results_by_TOPIC[Topics],Mapping_External_Results_by_TOPIC[Total External services emissions (kgCO2e)])/1000</f>
        <v>0</v>
      </c>
      <c r="G35" s="24">
        <f>_xlfn.XLOOKUP(Tableau6[[#This Row],[Topic]],Mapping_Travel_Results_by_TOPIC[Topics],Mapping_Travel_Results_by_TOPIC[Total Travel (kgCO2e)])/1000</f>
        <v>0</v>
      </c>
      <c r="H35" s="24">
        <f>_xlfn.XLOOKUP(Tableau6[[#This Row],[Topic]],Mapping_Non_Cyber_Results_by_TOPIC[NIST Control],Mapping_Non_Cyber_Results_by_TOPIC[Total Log and Antivirus for non cybe equipments emissions (kgCO2e)])/1000</f>
        <v>24.349917117249998</v>
      </c>
    </row>
    <row r="36" spans="1:10">
      <c r="A36" s="111" t="s">
        <v>25</v>
      </c>
      <c r="B36" s="24">
        <f>_xlfn.XLOOKUP(Tableau6[[#This Row],[Topic]],Mapping_Device_Results_by_TOPIC[Topics],Mapping_Device_Results_by_TOPIC[Total Devices emissions (kgCO2e)])/1000</f>
        <v>0.12750221250000002</v>
      </c>
      <c r="C36" s="24">
        <f>_xlfn.XLOOKUP(Tableau6[[#This Row],[Topic]],Mapping_Network_Results_by_TOPIC[Topics],Mapping_Network_Results_by_TOPIC[Appliances emissions (kgCO2e)])/1000</f>
        <v>0</v>
      </c>
      <c r="D36" s="24">
        <f>_xlfn.XLOOKUP(Tableau6[[#This Row],[Topic]],Mapping_Servers_Results_by_TOPIC[Topics],Mapping_Servers_Results_by_TOPIC[Total severs on premise emissions (kgCO2e)])/1000</f>
        <v>19.137024446195554</v>
      </c>
      <c r="E36" s="24">
        <f>_xlfn.XLOOKUP(Tableau6[[#This Row],[Topic]],Mapping_Solutions_Results_by_TOPIC[Topics],Mapping_Solutions_Results_by_TOPIC[Total Cyber solution emissions (kgCO2e)])/1000</f>
        <v>0</v>
      </c>
      <c r="F36" s="24">
        <f>_xlfn.XLOOKUP(Tableau6[[#This Row],[Topic]],Mapping_External_Results_by_TOPIC[Topics],Mapping_External_Results_by_TOPIC[Total External services emissions (kgCO2e)])/1000</f>
        <v>0</v>
      </c>
      <c r="G36" s="24">
        <f>_xlfn.XLOOKUP(Tableau6[[#This Row],[Topic]],Mapping_Travel_Results_by_TOPIC[Topics],Mapping_Travel_Results_by_TOPIC[Total Travel (kgCO2e)])/1000</f>
        <v>0</v>
      </c>
      <c r="H36" s="24">
        <f>_xlfn.XLOOKUP(Tableau6[[#This Row],[Topic]],Mapping_Non_Cyber_Results_by_TOPIC[NIST Control],Mapping_Non_Cyber_Results_by_TOPIC[Total Log and Antivirus for non cybe equipments emissions (kgCO2e)])/1000</f>
        <v>0</v>
      </c>
    </row>
    <row r="37" spans="1:10">
      <c r="A37" s="111" t="s">
        <v>26</v>
      </c>
      <c r="B37" s="24">
        <f>_xlfn.XLOOKUP(Tableau6[[#This Row],[Topic]],Mapping_Device_Results_by_TOPIC[Topics],Mapping_Device_Results_by_TOPIC[Total Devices emissions (kgCO2e)])/1000</f>
        <v>0</v>
      </c>
      <c r="C37" s="24">
        <f>_xlfn.XLOOKUP(Tableau6[[#This Row],[Topic]],Mapping_Network_Results_by_TOPIC[Topics],Mapping_Network_Results_by_TOPIC[Appliances emissions (kgCO2e)])/1000</f>
        <v>0</v>
      </c>
      <c r="D37" s="24">
        <f>_xlfn.XLOOKUP(Tableau6[[#This Row],[Topic]],Mapping_Servers_Results_by_TOPIC[Topics],Mapping_Servers_Results_by_TOPIC[Total severs on premise emissions (kgCO2e)])/1000</f>
        <v>0</v>
      </c>
      <c r="E37" s="24">
        <f>_xlfn.XLOOKUP(Tableau6[[#This Row],[Topic]],Mapping_Solutions_Results_by_TOPIC[Topics],Mapping_Solutions_Results_by_TOPIC[Total Cyber solution emissions (kgCO2e)])/1000</f>
        <v>0</v>
      </c>
      <c r="F37" s="24">
        <f>_xlfn.XLOOKUP(Tableau6[[#This Row],[Topic]],Mapping_External_Results_by_TOPIC[Topics],Mapping_External_Results_by_TOPIC[Total External services emissions (kgCO2e)])/1000</f>
        <v>0.31970883174120279</v>
      </c>
      <c r="G37" s="24">
        <f>_xlfn.XLOOKUP(Tableau6[[#This Row],[Topic]],Mapping_Travel_Results_by_TOPIC[Topics],Mapping_Travel_Results_by_TOPIC[Total Travel (kgCO2e)])/1000</f>
        <v>0</v>
      </c>
      <c r="H37" s="24">
        <f>_xlfn.XLOOKUP(Tableau6[[#This Row],[Topic]],Mapping_Non_Cyber_Results_by_TOPIC[NIST Control],Mapping_Non_Cyber_Results_by_TOPIC[Total Log and Antivirus for non cybe equipments emissions (kgCO2e)])/1000</f>
        <v>0</v>
      </c>
    </row>
    <row r="38" spans="1:10">
      <c r="A38" s="112" t="s">
        <v>27</v>
      </c>
      <c r="B38" s="24">
        <f>_xlfn.XLOOKUP(Tableau6[[#This Row],[Topic]],Mapping_Device_Results_by_TOPIC[Topics],Mapping_Device_Results_by_TOPIC[Total Devices emissions (kgCO2e)])/1000</f>
        <v>0</v>
      </c>
      <c r="C38" s="24">
        <f>_xlfn.XLOOKUP(Tableau6[[#This Row],[Topic]],Mapping_Network_Results_by_TOPIC[Topics],Mapping_Network_Results_by_TOPIC[Appliances emissions (kgCO2e)])/1000</f>
        <v>0</v>
      </c>
      <c r="D38" s="24">
        <f>_xlfn.XLOOKUP(Tableau6[[#This Row],[Topic]],Mapping_Servers_Results_by_TOPIC[Topics],Mapping_Servers_Results_by_TOPIC[Total severs on premise emissions (kgCO2e)])/1000</f>
        <v>0</v>
      </c>
      <c r="E38" s="24">
        <f>_xlfn.XLOOKUP(Tableau6[[#This Row],[Topic]],Mapping_Solutions_Results_by_TOPIC[Topics],Mapping_Solutions_Results_by_TOPIC[Total Cyber solution emissions (kgCO2e)])/1000</f>
        <v>1595.5686659999999</v>
      </c>
      <c r="F38" s="24">
        <f>_xlfn.XLOOKUP(Tableau6[[#This Row],[Topic]],Mapping_External_Results_by_TOPIC[Topics],Mapping_External_Results_by_TOPIC[Total External services emissions (kgCO2e)])/1000</f>
        <v>368.14999331103951</v>
      </c>
      <c r="G38" s="24">
        <f>_xlfn.XLOOKUP(Tableau6[[#This Row],[Topic]],Mapping_Travel_Results_by_TOPIC[Topics],Mapping_Travel_Results_by_TOPIC[Total Travel (kgCO2e)])/1000</f>
        <v>0</v>
      </c>
      <c r="H38" s="24">
        <f>_xlfn.XLOOKUP(Tableau6[[#This Row],[Topic]],Mapping_Non_Cyber_Results_by_TOPIC[NIST Control],Mapping_Non_Cyber_Results_by_TOPIC[Total Log and Antivirus for non cybe equipments emissions (kgCO2e)])/1000</f>
        <v>0</v>
      </c>
    </row>
    <row r="42" spans="1:10">
      <c r="A42" s="128" t="s">
        <v>784</v>
      </c>
      <c r="B42" s="128" t="s">
        <v>791</v>
      </c>
      <c r="C42" s="128" t="s">
        <v>785</v>
      </c>
    </row>
    <row r="43" spans="1:10">
      <c r="A43" s="111" t="s">
        <v>14</v>
      </c>
      <c r="B43" t="str">
        <f>Tableau6[[#Headers],[Cyber devices]]</f>
        <v>Cyber devices</v>
      </c>
      <c r="C43" s="24">
        <f>$B$25</f>
        <v>0</v>
      </c>
      <c r="D43" s="24"/>
      <c r="E43" s="24"/>
      <c r="F43" s="24"/>
      <c r="G43" s="24"/>
      <c r="H43" s="24"/>
      <c r="I43" s="24"/>
      <c r="J43" s="24"/>
    </row>
    <row r="44" spans="1:10">
      <c r="A44" s="111" t="s">
        <v>14</v>
      </c>
      <c r="B44" t="str">
        <f>Tableau6[[#Headers],[Network]]</f>
        <v>Network</v>
      </c>
      <c r="C44" s="24">
        <f>$C$25</f>
        <v>0</v>
      </c>
    </row>
    <row r="45" spans="1:10">
      <c r="A45" s="111" t="s">
        <v>14</v>
      </c>
      <c r="B45" t="str">
        <f>Tableau6[[#Headers],[Backup Servers]]</f>
        <v>Backup Servers</v>
      </c>
      <c r="C45" s="24">
        <f>$D$25</f>
        <v>0</v>
      </c>
    </row>
    <row r="46" spans="1:10">
      <c r="A46" s="111" t="s">
        <v>14</v>
      </c>
      <c r="B46" t="str">
        <f>Tableau6[[#Headers],[Cyber Software Infrastructure]]</f>
        <v>Cyber Software Infrastructure</v>
      </c>
      <c r="C46" s="24">
        <f>$E$25</f>
        <v>0</v>
      </c>
    </row>
    <row r="47" spans="1:10">
      <c r="A47" s="111" t="s">
        <v>14</v>
      </c>
      <c r="B47" t="str">
        <f>Tableau6[[#Headers],[External services]]</f>
        <v>External services</v>
      </c>
      <c r="C47" s="24">
        <f>$F$25</f>
        <v>0</v>
      </c>
    </row>
    <row r="48" spans="1:10">
      <c r="A48" s="111" t="s">
        <v>14</v>
      </c>
      <c r="B48" t="str">
        <f>Tableau6[[#Headers],[Travel]]</f>
        <v>Travel</v>
      </c>
      <c r="C48" s="24">
        <f>$G$25</f>
        <v>0</v>
      </c>
    </row>
    <row r="49" spans="1:3">
      <c r="A49" s="111" t="s">
        <v>14</v>
      </c>
      <c r="B49" t="str">
        <f>Tableau6[[#Headers],[Non cyber equipments]]</f>
        <v>Non cyber equipments</v>
      </c>
      <c r="C49" s="24">
        <f>$H$25</f>
        <v>0</v>
      </c>
    </row>
    <row r="50" spans="1:3">
      <c r="A50" s="111" t="s">
        <v>15</v>
      </c>
      <c r="B50" t="str">
        <f>Tableau6[[#Headers],[Cyber devices]]</f>
        <v>Cyber devices</v>
      </c>
      <c r="C50" s="24">
        <f>$B$26</f>
        <v>0</v>
      </c>
    </row>
    <row r="51" spans="1:3">
      <c r="A51" s="111" t="s">
        <v>15</v>
      </c>
      <c r="B51" t="str">
        <f>Tableau6[[#Headers],[Network]]</f>
        <v>Network</v>
      </c>
      <c r="C51" s="24">
        <f>$C$26</f>
        <v>0</v>
      </c>
    </row>
    <row r="52" spans="1:3">
      <c r="A52" s="111" t="s">
        <v>15</v>
      </c>
      <c r="B52" t="str">
        <f>Tableau6[[#Headers],[Backup Servers]]</f>
        <v>Backup Servers</v>
      </c>
      <c r="C52" s="24">
        <f>$D$26</f>
        <v>0</v>
      </c>
    </row>
    <row r="53" spans="1:3">
      <c r="A53" s="111" t="s">
        <v>15</v>
      </c>
      <c r="B53" t="str">
        <f>Tableau6[[#Headers],[Cyber Software Infrastructure]]</f>
        <v>Cyber Software Infrastructure</v>
      </c>
      <c r="C53" s="24">
        <f>$E$26</f>
        <v>1615.2009471719625</v>
      </c>
    </row>
    <row r="54" spans="1:3">
      <c r="A54" s="111" t="s">
        <v>15</v>
      </c>
      <c r="B54" t="str">
        <f>Tableau6[[#Headers],[External services]]</f>
        <v>External services</v>
      </c>
      <c r="C54" s="24">
        <f>$F$26</f>
        <v>7.4418396597186014</v>
      </c>
    </row>
    <row r="55" spans="1:3">
      <c r="A55" s="111" t="s">
        <v>15</v>
      </c>
      <c r="B55" t="str">
        <f>Tableau6[[#Headers],[Travel]]</f>
        <v>Travel</v>
      </c>
      <c r="C55" s="24">
        <f>$G$26</f>
        <v>0</v>
      </c>
    </row>
    <row r="56" spans="1:3">
      <c r="A56" s="111" t="s">
        <v>15</v>
      </c>
      <c r="B56" t="str">
        <f>Tableau6[[#Headers],[Non cyber equipments]]</f>
        <v>Non cyber equipments</v>
      </c>
      <c r="C56" s="24">
        <f>$H$26</f>
        <v>0</v>
      </c>
    </row>
    <row r="57" spans="1:3">
      <c r="A57" s="111" t="s">
        <v>16</v>
      </c>
      <c r="B57" t="str">
        <f>Tableau6[[#Headers],[Cyber devices]]</f>
        <v>Cyber devices</v>
      </c>
      <c r="C57" s="24">
        <f>$B$27</f>
        <v>0</v>
      </c>
    </row>
    <row r="58" spans="1:3">
      <c r="A58" s="111" t="s">
        <v>16</v>
      </c>
      <c r="B58" t="str">
        <f>Tableau6[[#Headers],[Network]]</f>
        <v>Network</v>
      </c>
      <c r="C58" s="24">
        <f>$C$27</f>
        <v>0</v>
      </c>
    </row>
    <row r="59" spans="1:3">
      <c r="A59" s="111" t="s">
        <v>16</v>
      </c>
      <c r="B59" t="str">
        <f>Tableau6[[#Headers],[Backup Servers]]</f>
        <v>Backup Servers</v>
      </c>
      <c r="C59" s="24">
        <f>$D$27</f>
        <v>0</v>
      </c>
    </row>
    <row r="60" spans="1:3">
      <c r="A60" s="111" t="s">
        <v>16</v>
      </c>
      <c r="B60" t="str">
        <f>Tableau6[[#Headers],[Cyber Software Infrastructure]]</f>
        <v>Cyber Software Infrastructure</v>
      </c>
      <c r="C60" s="24">
        <f>$E$27</f>
        <v>0</v>
      </c>
    </row>
    <row r="61" spans="1:3">
      <c r="A61" s="111" t="s">
        <v>16</v>
      </c>
      <c r="B61" t="str">
        <f>Tableau6[[#Headers],[External services]]</f>
        <v>External services</v>
      </c>
      <c r="C61" s="24">
        <f>$F$27</f>
        <v>0</v>
      </c>
    </row>
    <row r="62" spans="1:3">
      <c r="A62" s="111" t="s">
        <v>16</v>
      </c>
      <c r="B62" t="str">
        <f>Tableau6[[#Headers],[Travel]]</f>
        <v>Travel</v>
      </c>
      <c r="C62" s="24">
        <f>$G$27</f>
        <v>0</v>
      </c>
    </row>
    <row r="63" spans="1:3">
      <c r="A63" s="111" t="s">
        <v>16</v>
      </c>
      <c r="B63" t="str">
        <f>Tableau6[[#Headers],[Non cyber equipments]]</f>
        <v>Non cyber equipments</v>
      </c>
      <c r="C63" s="24">
        <f>$H$27</f>
        <v>0</v>
      </c>
    </row>
    <row r="64" spans="1:3">
      <c r="A64" s="111" t="s">
        <v>17</v>
      </c>
      <c r="B64" t="str">
        <f>Tableau6[[#Headers],[Cyber devices]]</f>
        <v>Cyber devices</v>
      </c>
      <c r="C64" s="24">
        <f>$B$28</f>
        <v>0</v>
      </c>
    </row>
    <row r="65" spans="1:3">
      <c r="A65" s="111" t="s">
        <v>17</v>
      </c>
      <c r="B65" t="str">
        <f>Tableau6[[#Headers],[Network]]</f>
        <v>Network</v>
      </c>
      <c r="C65" s="24">
        <f>$C$28</f>
        <v>0</v>
      </c>
    </row>
    <row r="66" spans="1:3">
      <c r="A66" s="111" t="s">
        <v>17</v>
      </c>
      <c r="B66" t="str">
        <f>Tableau6[[#Headers],[Backup Servers]]</f>
        <v>Backup Servers</v>
      </c>
      <c r="C66" s="24">
        <f>$D$28</f>
        <v>0</v>
      </c>
    </row>
    <row r="67" spans="1:3">
      <c r="A67" s="111" t="s">
        <v>17</v>
      </c>
      <c r="B67" t="str">
        <f>Tableau6[[#Headers],[Cyber Software Infrastructure]]</f>
        <v>Cyber Software Infrastructure</v>
      </c>
      <c r="C67" s="24">
        <f>$E$28</f>
        <v>0</v>
      </c>
    </row>
    <row r="68" spans="1:3">
      <c r="A68" s="111" t="s">
        <v>17</v>
      </c>
      <c r="B68" t="str">
        <f>Tableau6[[#Headers],[External services]]</f>
        <v>External services</v>
      </c>
      <c r="C68" s="24">
        <f>$F$28</f>
        <v>0</v>
      </c>
    </row>
    <row r="69" spans="1:3">
      <c r="A69" s="111" t="s">
        <v>17</v>
      </c>
      <c r="B69" t="str">
        <f>Tableau6[[#Headers],[Travel]]</f>
        <v>Travel</v>
      </c>
      <c r="C69" s="24">
        <f>$G$28</f>
        <v>0</v>
      </c>
    </row>
    <row r="70" spans="1:3">
      <c r="A70" s="111" t="s">
        <v>17</v>
      </c>
      <c r="B70" t="str">
        <f>Tableau6[[#Headers],[Non cyber equipments]]</f>
        <v>Non cyber equipments</v>
      </c>
      <c r="C70" s="24">
        <f>$H$28</f>
        <v>0</v>
      </c>
    </row>
    <row r="71" spans="1:3">
      <c r="A71" s="111" t="s">
        <v>18</v>
      </c>
      <c r="B71" t="str">
        <f>Tableau6[[#Headers],[Cyber devices]]</f>
        <v>Cyber devices</v>
      </c>
      <c r="C71" s="24">
        <f>$B$29</f>
        <v>0</v>
      </c>
    </row>
    <row r="72" spans="1:3">
      <c r="A72" s="111" t="s">
        <v>18</v>
      </c>
      <c r="B72" t="str">
        <f>Tableau6[[#Headers],[Network]]</f>
        <v>Network</v>
      </c>
      <c r="C72" s="24">
        <f>$C$29</f>
        <v>15.972790834285716</v>
      </c>
    </row>
    <row r="73" spans="1:3">
      <c r="A73" s="111" t="s">
        <v>18</v>
      </c>
      <c r="B73" t="str">
        <f>Tableau6[[#Headers],[Backup Servers]]</f>
        <v>Backup Servers</v>
      </c>
      <c r="C73" s="24">
        <f>$D$29</f>
        <v>0</v>
      </c>
    </row>
    <row r="74" spans="1:3">
      <c r="A74" s="111" t="s">
        <v>18</v>
      </c>
      <c r="B74" t="str">
        <f>Tableau6[[#Headers],[Cyber Software Infrastructure]]</f>
        <v>Cyber Software Infrastructure</v>
      </c>
      <c r="C74" s="24">
        <f>$E$29</f>
        <v>0</v>
      </c>
    </row>
    <row r="75" spans="1:3">
      <c r="A75" s="111" t="s">
        <v>18</v>
      </c>
      <c r="B75" t="str">
        <f>Tableau6[[#Headers],[External services]]</f>
        <v>External services</v>
      </c>
      <c r="C75" s="24">
        <f>$F$29</f>
        <v>0</v>
      </c>
    </row>
    <row r="76" spans="1:3">
      <c r="A76" s="111" t="s">
        <v>18</v>
      </c>
      <c r="B76" t="str">
        <f>Tableau6[[#Headers],[Travel]]</f>
        <v>Travel</v>
      </c>
      <c r="C76" s="24">
        <f>$G$29</f>
        <v>0</v>
      </c>
    </row>
    <row r="77" spans="1:3">
      <c r="A77" s="111" t="s">
        <v>18</v>
      </c>
      <c r="B77" t="str">
        <f>Tableau6[[#Headers],[Non cyber equipments]]</f>
        <v>Non cyber equipments</v>
      </c>
      <c r="C77" s="24">
        <f>$H$29</f>
        <v>8.1166390390833332</v>
      </c>
    </row>
    <row r="78" spans="1:3">
      <c r="A78" s="111" t="s">
        <v>19</v>
      </c>
      <c r="B78" t="str">
        <f>Tableau6[[#Headers],[Cyber devices]]</f>
        <v>Cyber devices</v>
      </c>
      <c r="C78" s="24">
        <f>$B$30</f>
        <v>1.5960111374999999</v>
      </c>
    </row>
    <row r="79" spans="1:3">
      <c r="A79" s="111" t="s">
        <v>19</v>
      </c>
      <c r="B79" t="str">
        <f>Tableau6[[#Headers],[Network]]</f>
        <v>Network</v>
      </c>
      <c r="C79" s="24">
        <f>$C$30</f>
        <v>0</v>
      </c>
    </row>
    <row r="80" spans="1:3">
      <c r="A80" s="111" t="s">
        <v>19</v>
      </c>
      <c r="B80" t="str">
        <f>Tableau6[[#Headers],[Backup Servers]]</f>
        <v>Backup Servers</v>
      </c>
      <c r="C80" s="24">
        <f>$D$30</f>
        <v>0</v>
      </c>
    </row>
    <row r="81" spans="1:3">
      <c r="A81" s="111" t="s">
        <v>19</v>
      </c>
      <c r="B81" t="str">
        <f>Tableau6[[#Headers],[Cyber Software Infrastructure]]</f>
        <v>Cyber Software Infrastructure</v>
      </c>
      <c r="C81" s="24">
        <f>$E$30</f>
        <v>0</v>
      </c>
    </row>
    <row r="82" spans="1:3">
      <c r="A82" s="111" t="s">
        <v>19</v>
      </c>
      <c r="B82" t="str">
        <f>Tableau6[[#Headers],[External services]]</f>
        <v>External services</v>
      </c>
      <c r="C82" s="24">
        <f>$F$30</f>
        <v>0</v>
      </c>
    </row>
    <row r="83" spans="1:3">
      <c r="A83" s="111" t="s">
        <v>19</v>
      </c>
      <c r="B83" t="str">
        <f>Tableau6[[#Headers],[Travel]]</f>
        <v>Travel</v>
      </c>
      <c r="C83" s="24">
        <f>$G$30</f>
        <v>0</v>
      </c>
    </row>
    <row r="84" spans="1:3">
      <c r="A84" s="111" t="s">
        <v>19</v>
      </c>
      <c r="B84" t="str">
        <f>Tableau6[[#Headers],[Non cyber equipments]]</f>
        <v>Non cyber equipments</v>
      </c>
      <c r="C84" s="24">
        <f>$H$30</f>
        <v>0.61033191900000006</v>
      </c>
    </row>
    <row r="85" spans="1:3">
      <c r="A85" s="111" t="s">
        <v>20</v>
      </c>
      <c r="B85" t="str">
        <f>Tableau6[[#Headers],[Cyber devices]]</f>
        <v>Cyber devices</v>
      </c>
      <c r="C85" s="24">
        <f>$B$31</f>
        <v>21.934199041666666</v>
      </c>
    </row>
    <row r="86" spans="1:3">
      <c r="A86" s="111" t="s">
        <v>20</v>
      </c>
      <c r="B86" t="str">
        <f>Tableau6[[#Headers],[Network]]</f>
        <v>Network</v>
      </c>
      <c r="C86" s="24">
        <f>$C$31</f>
        <v>0</v>
      </c>
    </row>
    <row r="87" spans="1:3">
      <c r="A87" s="111" t="s">
        <v>20</v>
      </c>
      <c r="B87" t="str">
        <f>Tableau6[[#Headers],[Backup Servers]]</f>
        <v>Backup Servers</v>
      </c>
      <c r="C87" s="24">
        <f>$D$31</f>
        <v>0</v>
      </c>
    </row>
    <row r="88" spans="1:3">
      <c r="A88" s="111" t="s">
        <v>20</v>
      </c>
      <c r="B88" t="str">
        <f>Tableau6[[#Headers],[Cyber Software Infrastructure]]</f>
        <v>Cyber Software Infrastructure</v>
      </c>
      <c r="C88" s="24">
        <f>$E$31</f>
        <v>0</v>
      </c>
    </row>
    <row r="89" spans="1:3">
      <c r="A89" s="111" t="s">
        <v>20</v>
      </c>
      <c r="B89" t="str">
        <f>Tableau6[[#Headers],[External services]]</f>
        <v>External services</v>
      </c>
      <c r="C89" s="24">
        <f>$F$31</f>
        <v>0</v>
      </c>
    </row>
    <row r="90" spans="1:3">
      <c r="A90" s="111" t="s">
        <v>20</v>
      </c>
      <c r="B90" t="str">
        <f>Tableau6[[#Headers],[Travel]]</f>
        <v>Travel</v>
      </c>
      <c r="C90" s="24">
        <f>$G$31</f>
        <v>385.24667001999995</v>
      </c>
    </row>
    <row r="91" spans="1:3">
      <c r="A91" s="111" t="s">
        <v>20</v>
      </c>
      <c r="B91" t="str">
        <f>Tableau6[[#Headers],[Non cyber equipments]]</f>
        <v>Non cyber equipments</v>
      </c>
      <c r="C91" s="24">
        <f>$H$31</f>
        <v>0</v>
      </c>
    </row>
    <row r="92" spans="1:3">
      <c r="A92" s="111" t="s">
        <v>21</v>
      </c>
      <c r="B92" t="str">
        <f>Tableau6[[#Headers],[Cyber devices]]</f>
        <v>Cyber devices</v>
      </c>
      <c r="C92" s="24">
        <f>$B$32</f>
        <v>0</v>
      </c>
    </row>
    <row r="93" spans="1:3">
      <c r="A93" s="111" t="s">
        <v>21</v>
      </c>
      <c r="B93" t="str">
        <f>Tableau6[[#Headers],[Network]]</f>
        <v>Network</v>
      </c>
      <c r="C93" s="24">
        <f>$C$32</f>
        <v>0</v>
      </c>
    </row>
    <row r="94" spans="1:3">
      <c r="A94" s="111" t="s">
        <v>21</v>
      </c>
      <c r="B94" t="str">
        <f>Tableau6[[#Headers],[Backup Servers]]</f>
        <v>Backup Servers</v>
      </c>
      <c r="C94" s="24">
        <f>$D$32</f>
        <v>0</v>
      </c>
    </row>
    <row r="95" spans="1:3">
      <c r="A95" s="111" t="s">
        <v>21</v>
      </c>
      <c r="B95" t="str">
        <f>Tableau6[[#Headers],[Cyber Software Infrastructure]]</f>
        <v>Cyber Software Infrastructure</v>
      </c>
      <c r="C95" s="24">
        <f>$E$32</f>
        <v>0</v>
      </c>
    </row>
    <row r="96" spans="1:3">
      <c r="A96" s="111" t="s">
        <v>21</v>
      </c>
      <c r="B96" t="str">
        <f>Tableau6[[#Headers],[External services]]</f>
        <v>External services</v>
      </c>
      <c r="C96" s="24">
        <f>$F$32</f>
        <v>0</v>
      </c>
    </row>
    <row r="97" spans="1:3">
      <c r="A97" s="111" t="s">
        <v>21</v>
      </c>
      <c r="B97" t="str">
        <f>Tableau6[[#Headers],[Travel]]</f>
        <v>Travel</v>
      </c>
      <c r="C97" s="24">
        <f>$G$32</f>
        <v>0</v>
      </c>
    </row>
    <row r="98" spans="1:3">
      <c r="A98" s="111" t="s">
        <v>21</v>
      </c>
      <c r="B98" t="str">
        <f>Tableau6[[#Headers],[Non cyber equipments]]</f>
        <v>Non cyber equipments</v>
      </c>
      <c r="C98" s="24">
        <f>$H$32</f>
        <v>0</v>
      </c>
    </row>
    <row r="99" spans="1:3">
      <c r="A99" s="111" t="s">
        <v>22</v>
      </c>
      <c r="B99" t="str">
        <f>Tableau6[[#Headers],[Cyber devices]]</f>
        <v>Cyber devices</v>
      </c>
      <c r="C99" s="24">
        <f>$B$33</f>
        <v>0</v>
      </c>
    </row>
    <row r="100" spans="1:3">
      <c r="A100" s="111" t="s">
        <v>22</v>
      </c>
      <c r="B100" t="str">
        <f>Tableau6[[#Headers],[Network]]</f>
        <v>Network</v>
      </c>
      <c r="C100" s="24">
        <f>$C$33</f>
        <v>0</v>
      </c>
    </row>
    <row r="101" spans="1:3">
      <c r="A101" s="111" t="s">
        <v>22</v>
      </c>
      <c r="B101" t="str">
        <f>Tableau6[[#Headers],[Backup Servers]]</f>
        <v>Backup Servers</v>
      </c>
      <c r="C101" s="24">
        <f>$D$33</f>
        <v>0</v>
      </c>
    </row>
    <row r="102" spans="1:3">
      <c r="A102" s="111" t="s">
        <v>22</v>
      </c>
      <c r="B102" t="str">
        <f>Tableau6[[#Headers],[Cyber Software Infrastructure]]</f>
        <v>Cyber Software Infrastructure</v>
      </c>
      <c r="C102" s="24">
        <f>$E$33</f>
        <v>0</v>
      </c>
    </row>
    <row r="103" spans="1:3">
      <c r="A103" s="111" t="s">
        <v>22</v>
      </c>
      <c r="B103" t="str">
        <f>Tableau6[[#Headers],[External services]]</f>
        <v>External services</v>
      </c>
      <c r="C103" s="24">
        <f>$F$33</f>
        <v>0</v>
      </c>
    </row>
    <row r="104" spans="1:3">
      <c r="A104" s="111" t="s">
        <v>22</v>
      </c>
      <c r="B104" t="str">
        <f>Tableau6[[#Headers],[Travel]]</f>
        <v>Travel</v>
      </c>
      <c r="C104" s="24">
        <f>$G$33</f>
        <v>0</v>
      </c>
    </row>
    <row r="105" spans="1:3">
      <c r="A105" s="111" t="s">
        <v>22</v>
      </c>
      <c r="B105" t="str">
        <f>Tableau6[[#Headers],[Non cyber equipments]]</f>
        <v>Non cyber equipments</v>
      </c>
      <c r="C105" s="24">
        <f>$H$33</f>
        <v>0</v>
      </c>
    </row>
    <row r="106" spans="1:3">
      <c r="A106" s="111" t="s">
        <v>23</v>
      </c>
      <c r="B106" t="str">
        <f>Tableau6[[#Headers],[Cyber devices]]</f>
        <v>Cyber devices</v>
      </c>
      <c r="C106" s="24">
        <f>$B$34</f>
        <v>0</v>
      </c>
    </row>
    <row r="107" spans="1:3">
      <c r="A107" s="111" t="s">
        <v>23</v>
      </c>
      <c r="B107" t="str">
        <f>Tableau6[[#Headers],[Network]]</f>
        <v>Network</v>
      </c>
      <c r="C107" s="24">
        <f>$C$34</f>
        <v>34.466492434285712</v>
      </c>
    </row>
    <row r="108" spans="1:3">
      <c r="A108" s="111" t="s">
        <v>23</v>
      </c>
      <c r="B108" t="str">
        <f>Tableau6[[#Headers],[Backup Servers]]</f>
        <v>Backup Servers</v>
      </c>
      <c r="C108" s="24">
        <f>$D$34</f>
        <v>0</v>
      </c>
    </row>
    <row r="109" spans="1:3">
      <c r="A109" s="111" t="s">
        <v>23</v>
      </c>
      <c r="B109" t="str">
        <f>Tableau6[[#Headers],[Cyber Software Infrastructure]]</f>
        <v>Cyber Software Infrastructure</v>
      </c>
      <c r="C109" s="24">
        <f>$E$34</f>
        <v>1223.269311</v>
      </c>
    </row>
    <row r="110" spans="1:3">
      <c r="A110" s="111" t="s">
        <v>23</v>
      </c>
      <c r="B110" t="str">
        <f>Tableau6[[#Headers],[External services]]</f>
        <v>External services</v>
      </c>
      <c r="C110" s="24">
        <f>$F$34</f>
        <v>15.470355135921537</v>
      </c>
    </row>
    <row r="111" spans="1:3">
      <c r="A111" s="111" t="s">
        <v>23</v>
      </c>
      <c r="B111" t="str">
        <f>Tableau6[[#Headers],[Travel]]</f>
        <v>Travel</v>
      </c>
      <c r="C111" s="24">
        <f>$G$34</f>
        <v>0</v>
      </c>
    </row>
    <row r="112" spans="1:3">
      <c r="A112" s="111" t="s">
        <v>23</v>
      </c>
      <c r="B112" t="str">
        <f>Tableau6[[#Headers],[Non cyber equipments]]</f>
        <v>Non cyber equipments</v>
      </c>
      <c r="C112" s="24">
        <f>$H$34</f>
        <v>0</v>
      </c>
    </row>
    <row r="113" spans="1:3">
      <c r="A113" s="111" t="s">
        <v>24</v>
      </c>
      <c r="B113" t="str">
        <f>Tableau6[[#Headers],[Cyber devices]]</f>
        <v>Cyber devices</v>
      </c>
      <c r="C113" s="24">
        <f>$B$35</f>
        <v>0</v>
      </c>
    </row>
    <row r="114" spans="1:3">
      <c r="A114" s="111" t="s">
        <v>24</v>
      </c>
      <c r="B114" t="str">
        <f>Tableau6[[#Headers],[Network]]</f>
        <v>Network</v>
      </c>
      <c r="C114" s="24">
        <f>$C$35</f>
        <v>0</v>
      </c>
    </row>
    <row r="115" spans="1:3">
      <c r="A115" s="111" t="s">
        <v>24</v>
      </c>
      <c r="B115" t="str">
        <f>Tableau6[[#Headers],[Backup Servers]]</f>
        <v>Backup Servers</v>
      </c>
      <c r="C115" s="24">
        <f>$D$35</f>
        <v>0</v>
      </c>
    </row>
    <row r="116" spans="1:3">
      <c r="A116" s="111" t="s">
        <v>24</v>
      </c>
      <c r="B116" t="str">
        <f>Tableau6[[#Headers],[Cyber Software Infrastructure]]</f>
        <v>Cyber Software Infrastructure</v>
      </c>
      <c r="C116" s="24">
        <f>$E$35</f>
        <v>0</v>
      </c>
    </row>
    <row r="117" spans="1:3">
      <c r="A117" s="111" t="s">
        <v>24</v>
      </c>
      <c r="B117" t="str">
        <f>Tableau6[[#Headers],[External services]]</f>
        <v>External services</v>
      </c>
      <c r="C117" s="24">
        <f>$F$35</f>
        <v>0</v>
      </c>
    </row>
    <row r="118" spans="1:3">
      <c r="A118" s="111" t="s">
        <v>24</v>
      </c>
      <c r="B118" t="str">
        <f>Tableau6[[#Headers],[Travel]]</f>
        <v>Travel</v>
      </c>
      <c r="C118" s="24">
        <f>$G$35</f>
        <v>0</v>
      </c>
    </row>
    <row r="119" spans="1:3">
      <c r="A119" s="111" t="s">
        <v>24</v>
      </c>
      <c r="B119" t="str">
        <f>Tableau6[[#Headers],[Non cyber equipments]]</f>
        <v>Non cyber equipments</v>
      </c>
      <c r="C119" s="24">
        <f>$H$35</f>
        <v>24.349917117249998</v>
      </c>
    </row>
    <row r="120" spans="1:3">
      <c r="A120" s="111" t="s">
        <v>25</v>
      </c>
      <c r="B120" t="str">
        <f>Tableau6[[#Headers],[Cyber devices]]</f>
        <v>Cyber devices</v>
      </c>
      <c r="C120" s="24">
        <f>$B$36</f>
        <v>0.12750221250000002</v>
      </c>
    </row>
    <row r="121" spans="1:3">
      <c r="A121" s="111" t="s">
        <v>25</v>
      </c>
      <c r="B121" t="str">
        <f>Tableau6[[#Headers],[Network]]</f>
        <v>Network</v>
      </c>
      <c r="C121" s="24">
        <f>$C$36</f>
        <v>0</v>
      </c>
    </row>
    <row r="122" spans="1:3">
      <c r="A122" s="111" t="s">
        <v>25</v>
      </c>
      <c r="B122" t="str">
        <f>Tableau6[[#Headers],[Backup Servers]]</f>
        <v>Backup Servers</v>
      </c>
      <c r="C122" s="24">
        <f>$D$36</f>
        <v>19.137024446195554</v>
      </c>
    </row>
    <row r="123" spans="1:3">
      <c r="A123" s="111" t="s">
        <v>25</v>
      </c>
      <c r="B123" t="str">
        <f>Tableau6[[#Headers],[Cyber Software Infrastructure]]</f>
        <v>Cyber Software Infrastructure</v>
      </c>
      <c r="C123" s="24">
        <f>$E$36</f>
        <v>0</v>
      </c>
    </row>
    <row r="124" spans="1:3">
      <c r="A124" s="111" t="s">
        <v>25</v>
      </c>
      <c r="B124" t="str">
        <f>Tableau6[[#Headers],[External services]]</f>
        <v>External services</v>
      </c>
      <c r="C124" s="24">
        <f>$F$36</f>
        <v>0</v>
      </c>
    </row>
    <row r="125" spans="1:3">
      <c r="A125" s="111" t="s">
        <v>25</v>
      </c>
      <c r="B125" t="str">
        <f>Tableau6[[#Headers],[Travel]]</f>
        <v>Travel</v>
      </c>
      <c r="C125" s="24">
        <f>$G$36</f>
        <v>0</v>
      </c>
    </row>
    <row r="126" spans="1:3">
      <c r="A126" s="111" t="s">
        <v>25</v>
      </c>
      <c r="B126" t="str">
        <f>Tableau6[[#Headers],[Non cyber equipments]]</f>
        <v>Non cyber equipments</v>
      </c>
      <c r="C126" s="24">
        <f>$H$36</f>
        <v>0</v>
      </c>
    </row>
    <row r="127" spans="1:3">
      <c r="A127" s="111" t="s">
        <v>26</v>
      </c>
      <c r="B127" t="str">
        <f>Tableau6[[#Headers],[Cyber devices]]</f>
        <v>Cyber devices</v>
      </c>
      <c r="C127" s="24">
        <f>$B$37</f>
        <v>0</v>
      </c>
    </row>
    <row r="128" spans="1:3">
      <c r="A128" s="111" t="s">
        <v>26</v>
      </c>
      <c r="B128" t="str">
        <f>Tableau6[[#Headers],[Network]]</f>
        <v>Network</v>
      </c>
      <c r="C128" s="24">
        <f>$C$37</f>
        <v>0</v>
      </c>
    </row>
    <row r="129" spans="1:3">
      <c r="A129" s="111" t="s">
        <v>26</v>
      </c>
      <c r="B129" t="str">
        <f>Tableau6[[#Headers],[Backup Servers]]</f>
        <v>Backup Servers</v>
      </c>
      <c r="C129" s="24">
        <f>$D$37</f>
        <v>0</v>
      </c>
    </row>
    <row r="130" spans="1:3">
      <c r="A130" s="111" t="s">
        <v>26</v>
      </c>
      <c r="B130" t="str">
        <f>Tableau6[[#Headers],[Cyber Software Infrastructure]]</f>
        <v>Cyber Software Infrastructure</v>
      </c>
      <c r="C130" s="24">
        <f>$E$37</f>
        <v>0</v>
      </c>
    </row>
    <row r="131" spans="1:3">
      <c r="A131" s="111" t="s">
        <v>26</v>
      </c>
      <c r="B131" t="str">
        <f>Tableau6[[#Headers],[External services]]</f>
        <v>External services</v>
      </c>
      <c r="C131" s="24">
        <f>$F$37</f>
        <v>0.31970883174120279</v>
      </c>
    </row>
    <row r="132" spans="1:3">
      <c r="A132" s="111" t="s">
        <v>26</v>
      </c>
      <c r="B132" t="str">
        <f>Tableau6[[#Headers],[Travel]]</f>
        <v>Travel</v>
      </c>
      <c r="C132" s="24">
        <f>$G$37</f>
        <v>0</v>
      </c>
    </row>
    <row r="133" spans="1:3">
      <c r="A133" s="111" t="s">
        <v>26</v>
      </c>
      <c r="B133" t="str">
        <f>Tableau6[[#Headers],[Non cyber equipments]]</f>
        <v>Non cyber equipments</v>
      </c>
      <c r="C133" s="24">
        <f>$H$37</f>
        <v>0</v>
      </c>
    </row>
    <row r="134" spans="1:3">
      <c r="A134" s="112" t="s">
        <v>27</v>
      </c>
      <c r="B134" t="str">
        <f>Tableau6[[#Headers],[Cyber devices]]</f>
        <v>Cyber devices</v>
      </c>
      <c r="C134" s="24">
        <f>$B$38</f>
        <v>0</v>
      </c>
    </row>
    <row r="135" spans="1:3">
      <c r="A135" s="112" t="s">
        <v>27</v>
      </c>
      <c r="B135" t="str">
        <f>Tableau6[[#Headers],[Network]]</f>
        <v>Network</v>
      </c>
      <c r="C135" s="24">
        <f>$C$38</f>
        <v>0</v>
      </c>
    </row>
    <row r="136" spans="1:3">
      <c r="A136" s="112" t="s">
        <v>27</v>
      </c>
      <c r="B136" t="str">
        <f>Tableau6[[#Headers],[Backup Servers]]</f>
        <v>Backup Servers</v>
      </c>
      <c r="C136" s="24">
        <f>$D$38</f>
        <v>0</v>
      </c>
    </row>
    <row r="137" spans="1:3">
      <c r="A137" s="112" t="s">
        <v>27</v>
      </c>
      <c r="B137" t="str">
        <f>Tableau6[[#Headers],[Cyber Software Infrastructure]]</f>
        <v>Cyber Software Infrastructure</v>
      </c>
      <c r="C137" s="24">
        <f>$E$38</f>
        <v>1595.5686659999999</v>
      </c>
    </row>
    <row r="138" spans="1:3">
      <c r="A138" s="112" t="s">
        <v>27</v>
      </c>
      <c r="B138" t="str">
        <f>Tableau6[[#Headers],[External services]]</f>
        <v>External services</v>
      </c>
      <c r="C138" s="24">
        <f>$F$38</f>
        <v>368.14999331103951</v>
      </c>
    </row>
    <row r="139" spans="1:3">
      <c r="A139" s="112" t="s">
        <v>27</v>
      </c>
      <c r="B139" t="str">
        <f>Tableau6[[#Headers],[Travel]]</f>
        <v>Travel</v>
      </c>
      <c r="C139" s="24">
        <f>$G$38</f>
        <v>0</v>
      </c>
    </row>
    <row r="140" spans="1:3">
      <c r="A140" s="112" t="s">
        <v>27</v>
      </c>
      <c r="B140" t="str">
        <f>Tableau6[[#Headers],[Non cyber equipments]]</f>
        <v>Non cyber equipments</v>
      </c>
      <c r="C140" s="24">
        <f>$H$38</f>
        <v>0</v>
      </c>
    </row>
    <row r="143" spans="1:3">
      <c r="A143" s="128" t="s">
        <v>791</v>
      </c>
      <c r="B143" s="128" t="s">
        <v>784</v>
      </c>
      <c r="C143" s="128" t="s">
        <v>785</v>
      </c>
    </row>
    <row r="144" spans="1:3">
      <c r="A144" s="124" t="str">
        <f>Tableau6[[#Headers],[Cyber devices]]</f>
        <v>Cyber devices</v>
      </c>
      <c r="B144" s="111" t="s">
        <v>14</v>
      </c>
      <c r="C144" s="24">
        <f>$B$25</f>
        <v>0</v>
      </c>
    </row>
    <row r="145" spans="1:3">
      <c r="A145" s="124" t="str">
        <f>Tableau6[[#Headers],[Cyber devices]]</f>
        <v>Cyber devices</v>
      </c>
      <c r="B145" s="111" t="s">
        <v>15</v>
      </c>
      <c r="C145" s="24">
        <f>$B$26</f>
        <v>0</v>
      </c>
    </row>
    <row r="146" spans="1:3">
      <c r="A146" s="124" t="str">
        <f>Tableau6[[#Headers],[Cyber devices]]</f>
        <v>Cyber devices</v>
      </c>
      <c r="B146" s="111" t="s">
        <v>16</v>
      </c>
      <c r="C146" s="24">
        <f>$B$27</f>
        <v>0</v>
      </c>
    </row>
    <row r="147" spans="1:3">
      <c r="A147" s="124" t="str">
        <f>Tableau6[[#Headers],[Cyber devices]]</f>
        <v>Cyber devices</v>
      </c>
      <c r="B147" s="111" t="s">
        <v>17</v>
      </c>
      <c r="C147" s="24">
        <f>$B$28</f>
        <v>0</v>
      </c>
    </row>
    <row r="148" spans="1:3">
      <c r="A148" s="124" t="str">
        <f>Tableau6[[#Headers],[Cyber devices]]</f>
        <v>Cyber devices</v>
      </c>
      <c r="B148" s="111" t="s">
        <v>18</v>
      </c>
      <c r="C148" s="24">
        <f>$B$29</f>
        <v>0</v>
      </c>
    </row>
    <row r="149" spans="1:3">
      <c r="A149" s="124" t="str">
        <f>Tableau6[[#Headers],[Cyber devices]]</f>
        <v>Cyber devices</v>
      </c>
      <c r="B149" s="111" t="s">
        <v>19</v>
      </c>
      <c r="C149" s="24">
        <f>$B$30</f>
        <v>1.5960111374999999</v>
      </c>
    </row>
    <row r="150" spans="1:3">
      <c r="A150" s="124" t="str">
        <f>Tableau6[[#Headers],[Cyber devices]]</f>
        <v>Cyber devices</v>
      </c>
      <c r="B150" s="111" t="s">
        <v>20</v>
      </c>
      <c r="C150" s="24">
        <f>$B$31</f>
        <v>21.934199041666666</v>
      </c>
    </row>
    <row r="151" spans="1:3">
      <c r="A151" s="124" t="str">
        <f>Tableau6[[#Headers],[Cyber devices]]</f>
        <v>Cyber devices</v>
      </c>
      <c r="B151" s="111" t="s">
        <v>21</v>
      </c>
      <c r="C151" s="24">
        <f>$B$32</f>
        <v>0</v>
      </c>
    </row>
    <row r="152" spans="1:3">
      <c r="A152" s="124" t="str">
        <f>Tableau6[[#Headers],[Cyber devices]]</f>
        <v>Cyber devices</v>
      </c>
      <c r="B152" s="111" t="s">
        <v>22</v>
      </c>
      <c r="C152" s="24">
        <f>$B$33</f>
        <v>0</v>
      </c>
    </row>
    <row r="153" spans="1:3">
      <c r="A153" s="124" t="str">
        <f>Tableau6[[#Headers],[Cyber devices]]</f>
        <v>Cyber devices</v>
      </c>
      <c r="B153" s="111" t="s">
        <v>23</v>
      </c>
      <c r="C153" s="24">
        <f>$B$34</f>
        <v>0</v>
      </c>
    </row>
    <row r="154" spans="1:3">
      <c r="A154" s="124" t="str">
        <f>Tableau6[[#Headers],[Cyber devices]]</f>
        <v>Cyber devices</v>
      </c>
      <c r="B154" s="111" t="s">
        <v>24</v>
      </c>
      <c r="C154" s="24">
        <f>$B$35</f>
        <v>0</v>
      </c>
    </row>
    <row r="155" spans="1:3">
      <c r="A155" s="124" t="str">
        <f>Tableau6[[#Headers],[Cyber devices]]</f>
        <v>Cyber devices</v>
      </c>
      <c r="B155" s="111" t="s">
        <v>25</v>
      </c>
      <c r="C155" s="24">
        <f>$B$36</f>
        <v>0.12750221250000002</v>
      </c>
    </row>
    <row r="156" spans="1:3">
      <c r="A156" s="124" t="str">
        <f>Tableau6[[#Headers],[Cyber devices]]</f>
        <v>Cyber devices</v>
      </c>
      <c r="B156" s="111" t="s">
        <v>26</v>
      </c>
      <c r="C156" s="24">
        <f>$B$37</f>
        <v>0</v>
      </c>
    </row>
    <row r="157" spans="1:3">
      <c r="A157" s="124" t="str">
        <f>Tableau6[[#Headers],[Cyber devices]]</f>
        <v>Cyber devices</v>
      </c>
      <c r="B157" s="112" t="s">
        <v>27</v>
      </c>
      <c r="C157" s="24">
        <f>$B$38</f>
        <v>0</v>
      </c>
    </row>
    <row r="158" spans="1:3">
      <c r="A158" s="124" t="str">
        <f>Tableau6[[#Headers],[Network]]</f>
        <v>Network</v>
      </c>
      <c r="B158" s="111" t="s">
        <v>14</v>
      </c>
      <c r="C158" s="24">
        <f>$C$25</f>
        <v>0</v>
      </c>
    </row>
    <row r="159" spans="1:3">
      <c r="A159" s="124" t="str">
        <f>Tableau6[[#Headers],[Network]]</f>
        <v>Network</v>
      </c>
      <c r="B159" s="111" t="s">
        <v>15</v>
      </c>
      <c r="C159" s="24">
        <f>$C$26</f>
        <v>0</v>
      </c>
    </row>
    <row r="160" spans="1:3">
      <c r="A160" s="124" t="str">
        <f>Tableau6[[#Headers],[Network]]</f>
        <v>Network</v>
      </c>
      <c r="B160" s="111" t="s">
        <v>16</v>
      </c>
      <c r="C160" s="24">
        <f>$C$27</f>
        <v>0</v>
      </c>
    </row>
    <row r="161" spans="1:3">
      <c r="A161" s="124" t="str">
        <f>Tableau6[[#Headers],[Network]]</f>
        <v>Network</v>
      </c>
      <c r="B161" s="111" t="s">
        <v>17</v>
      </c>
      <c r="C161" s="24">
        <f>$C$28</f>
        <v>0</v>
      </c>
    </row>
    <row r="162" spans="1:3">
      <c r="A162" s="124" t="str">
        <f>Tableau6[[#Headers],[Network]]</f>
        <v>Network</v>
      </c>
      <c r="B162" s="111" t="s">
        <v>18</v>
      </c>
      <c r="C162" s="24">
        <f>$C$29</f>
        <v>15.972790834285716</v>
      </c>
    </row>
    <row r="163" spans="1:3">
      <c r="A163" s="124" t="str">
        <f>Tableau6[[#Headers],[Network]]</f>
        <v>Network</v>
      </c>
      <c r="B163" s="111" t="s">
        <v>19</v>
      </c>
      <c r="C163" s="24">
        <f>$C$30</f>
        <v>0</v>
      </c>
    </row>
    <row r="164" spans="1:3">
      <c r="A164" s="124" t="str">
        <f>Tableau6[[#Headers],[Network]]</f>
        <v>Network</v>
      </c>
      <c r="B164" s="111" t="s">
        <v>20</v>
      </c>
      <c r="C164" s="24">
        <f>$C$31</f>
        <v>0</v>
      </c>
    </row>
    <row r="165" spans="1:3">
      <c r="A165" s="124" t="str">
        <f>Tableau6[[#Headers],[Network]]</f>
        <v>Network</v>
      </c>
      <c r="B165" s="111" t="s">
        <v>21</v>
      </c>
      <c r="C165" s="24">
        <f>$C$32</f>
        <v>0</v>
      </c>
    </row>
    <row r="166" spans="1:3">
      <c r="A166" s="124" t="str">
        <f>Tableau6[[#Headers],[Network]]</f>
        <v>Network</v>
      </c>
      <c r="B166" s="111" t="s">
        <v>22</v>
      </c>
      <c r="C166" s="24">
        <f>$C$33</f>
        <v>0</v>
      </c>
    </row>
    <row r="167" spans="1:3">
      <c r="A167" s="124" t="str">
        <f>Tableau6[[#Headers],[Network]]</f>
        <v>Network</v>
      </c>
      <c r="B167" s="111" t="s">
        <v>23</v>
      </c>
      <c r="C167" s="24">
        <f>$C$34</f>
        <v>34.466492434285712</v>
      </c>
    </row>
    <row r="168" spans="1:3">
      <c r="A168" s="124" t="str">
        <f>Tableau6[[#Headers],[Network]]</f>
        <v>Network</v>
      </c>
      <c r="B168" s="111" t="s">
        <v>24</v>
      </c>
      <c r="C168" s="24">
        <f>$C$35</f>
        <v>0</v>
      </c>
    </row>
    <row r="169" spans="1:3">
      <c r="A169" s="124" t="str">
        <f>Tableau6[[#Headers],[Network]]</f>
        <v>Network</v>
      </c>
      <c r="B169" s="111" t="s">
        <v>25</v>
      </c>
      <c r="C169" s="24">
        <f>$C$36</f>
        <v>0</v>
      </c>
    </row>
    <row r="170" spans="1:3">
      <c r="A170" s="124" t="str">
        <f>Tableau6[[#Headers],[Network]]</f>
        <v>Network</v>
      </c>
      <c r="B170" s="111" t="s">
        <v>26</v>
      </c>
      <c r="C170" s="24">
        <f>$C$37</f>
        <v>0</v>
      </c>
    </row>
    <row r="171" spans="1:3">
      <c r="A171" s="124" t="str">
        <f>Tableau6[[#Headers],[Network]]</f>
        <v>Network</v>
      </c>
      <c r="B171" s="112" t="s">
        <v>27</v>
      </c>
      <c r="C171" s="24">
        <f>$C$38</f>
        <v>0</v>
      </c>
    </row>
    <row r="172" spans="1:3">
      <c r="A172" s="124" t="str">
        <f>Tableau6[[#Headers],[Backup Servers]]</f>
        <v>Backup Servers</v>
      </c>
      <c r="B172" s="111" t="s">
        <v>14</v>
      </c>
      <c r="C172" s="24">
        <f>$D$25</f>
        <v>0</v>
      </c>
    </row>
    <row r="173" spans="1:3">
      <c r="A173" s="124" t="str">
        <f>Tableau6[[#Headers],[Backup Servers]]</f>
        <v>Backup Servers</v>
      </c>
      <c r="B173" s="111" t="s">
        <v>15</v>
      </c>
      <c r="C173" s="24">
        <f>$D$26</f>
        <v>0</v>
      </c>
    </row>
    <row r="174" spans="1:3">
      <c r="A174" s="124" t="str">
        <f>Tableau6[[#Headers],[Backup Servers]]</f>
        <v>Backup Servers</v>
      </c>
      <c r="B174" s="111" t="s">
        <v>16</v>
      </c>
      <c r="C174" s="24">
        <f>$D$27</f>
        <v>0</v>
      </c>
    </row>
    <row r="175" spans="1:3">
      <c r="A175" s="124" t="str">
        <f>Tableau6[[#Headers],[Backup Servers]]</f>
        <v>Backup Servers</v>
      </c>
      <c r="B175" s="111" t="s">
        <v>17</v>
      </c>
      <c r="C175" s="24">
        <f>$D$28</f>
        <v>0</v>
      </c>
    </row>
    <row r="176" spans="1:3">
      <c r="A176" s="124" t="str">
        <f>Tableau6[[#Headers],[Backup Servers]]</f>
        <v>Backup Servers</v>
      </c>
      <c r="B176" s="111" t="s">
        <v>18</v>
      </c>
      <c r="C176" s="24">
        <f>$D$29</f>
        <v>0</v>
      </c>
    </row>
    <row r="177" spans="1:3">
      <c r="A177" s="124" t="str">
        <f>Tableau6[[#Headers],[Backup Servers]]</f>
        <v>Backup Servers</v>
      </c>
      <c r="B177" s="111" t="s">
        <v>19</v>
      </c>
      <c r="C177" s="24">
        <f>$D$30</f>
        <v>0</v>
      </c>
    </row>
    <row r="178" spans="1:3">
      <c r="A178" s="124" t="str">
        <f>Tableau6[[#Headers],[Backup Servers]]</f>
        <v>Backup Servers</v>
      </c>
      <c r="B178" s="111" t="s">
        <v>20</v>
      </c>
      <c r="C178" s="24">
        <f>$D$31</f>
        <v>0</v>
      </c>
    </row>
    <row r="179" spans="1:3">
      <c r="A179" s="124" t="str">
        <f>Tableau6[[#Headers],[Backup Servers]]</f>
        <v>Backup Servers</v>
      </c>
      <c r="B179" s="111" t="s">
        <v>21</v>
      </c>
      <c r="C179" s="24">
        <f>$D$32</f>
        <v>0</v>
      </c>
    </row>
    <row r="180" spans="1:3">
      <c r="A180" s="124" t="str">
        <f>Tableau6[[#Headers],[Backup Servers]]</f>
        <v>Backup Servers</v>
      </c>
      <c r="B180" s="111" t="s">
        <v>22</v>
      </c>
      <c r="C180" s="24">
        <f>$D$33</f>
        <v>0</v>
      </c>
    </row>
    <row r="181" spans="1:3">
      <c r="A181" s="124" t="str">
        <f>Tableau6[[#Headers],[Backup Servers]]</f>
        <v>Backup Servers</v>
      </c>
      <c r="B181" s="111" t="s">
        <v>23</v>
      </c>
      <c r="C181" s="24">
        <f>$D$34</f>
        <v>0</v>
      </c>
    </row>
    <row r="182" spans="1:3">
      <c r="A182" s="124" t="str">
        <f>Tableau6[[#Headers],[Backup Servers]]</f>
        <v>Backup Servers</v>
      </c>
      <c r="B182" s="111" t="s">
        <v>24</v>
      </c>
      <c r="C182" s="24">
        <f>$D$35</f>
        <v>0</v>
      </c>
    </row>
    <row r="183" spans="1:3">
      <c r="A183" s="124" t="str">
        <f>Tableau6[[#Headers],[Backup Servers]]</f>
        <v>Backup Servers</v>
      </c>
      <c r="B183" s="111" t="s">
        <v>25</v>
      </c>
      <c r="C183" s="24">
        <f>$D$36</f>
        <v>19.137024446195554</v>
      </c>
    </row>
    <row r="184" spans="1:3">
      <c r="A184" s="124" t="str">
        <f>Tableau6[[#Headers],[Backup Servers]]</f>
        <v>Backup Servers</v>
      </c>
      <c r="B184" s="111" t="s">
        <v>26</v>
      </c>
      <c r="C184" s="24">
        <f>$D$37</f>
        <v>0</v>
      </c>
    </row>
    <row r="185" spans="1:3">
      <c r="A185" s="124" t="str">
        <f>Tableau6[[#Headers],[Backup Servers]]</f>
        <v>Backup Servers</v>
      </c>
      <c r="B185" s="112" t="s">
        <v>27</v>
      </c>
      <c r="C185" s="24">
        <f>$D$38</f>
        <v>0</v>
      </c>
    </row>
    <row r="186" spans="1:3">
      <c r="A186" s="124" t="str">
        <f>Tableau6[[#Headers],[Cyber Software Infrastructure]]</f>
        <v>Cyber Software Infrastructure</v>
      </c>
      <c r="B186" s="111" t="s">
        <v>14</v>
      </c>
      <c r="C186" s="24">
        <f>$E$25</f>
        <v>0</v>
      </c>
    </row>
    <row r="187" spans="1:3">
      <c r="A187" s="124" t="str">
        <f>Tableau6[[#Headers],[Cyber Software Infrastructure]]</f>
        <v>Cyber Software Infrastructure</v>
      </c>
      <c r="B187" s="111" t="s">
        <v>15</v>
      </c>
      <c r="C187" s="24">
        <f>$E$26</f>
        <v>1615.2009471719625</v>
      </c>
    </row>
    <row r="188" spans="1:3">
      <c r="A188" s="124" t="str">
        <f>Tableau6[[#Headers],[Cyber Software Infrastructure]]</f>
        <v>Cyber Software Infrastructure</v>
      </c>
      <c r="B188" s="111" t="s">
        <v>16</v>
      </c>
      <c r="C188" s="24">
        <f>$E$27</f>
        <v>0</v>
      </c>
    </row>
    <row r="189" spans="1:3">
      <c r="A189" s="124" t="str">
        <f>Tableau6[[#Headers],[Cyber Software Infrastructure]]</f>
        <v>Cyber Software Infrastructure</v>
      </c>
      <c r="B189" s="111" t="s">
        <v>17</v>
      </c>
      <c r="C189" s="24">
        <f>$E$28</f>
        <v>0</v>
      </c>
    </row>
    <row r="190" spans="1:3">
      <c r="A190" s="124" t="str">
        <f>Tableau6[[#Headers],[Cyber Software Infrastructure]]</f>
        <v>Cyber Software Infrastructure</v>
      </c>
      <c r="B190" s="111" t="s">
        <v>18</v>
      </c>
      <c r="C190" s="24">
        <f>$E$29</f>
        <v>0</v>
      </c>
    </row>
    <row r="191" spans="1:3">
      <c r="A191" s="124" t="str">
        <f>Tableau6[[#Headers],[Cyber Software Infrastructure]]</f>
        <v>Cyber Software Infrastructure</v>
      </c>
      <c r="B191" s="111" t="s">
        <v>19</v>
      </c>
      <c r="C191" s="24">
        <f>$E$30</f>
        <v>0</v>
      </c>
    </row>
    <row r="192" spans="1:3">
      <c r="A192" s="124" t="str">
        <f>Tableau6[[#Headers],[Cyber Software Infrastructure]]</f>
        <v>Cyber Software Infrastructure</v>
      </c>
      <c r="B192" s="111" t="s">
        <v>20</v>
      </c>
      <c r="C192" s="24">
        <f>$E$31</f>
        <v>0</v>
      </c>
    </row>
    <row r="193" spans="1:3">
      <c r="A193" s="124" t="str">
        <f>Tableau6[[#Headers],[Cyber Software Infrastructure]]</f>
        <v>Cyber Software Infrastructure</v>
      </c>
      <c r="B193" s="111" t="s">
        <v>21</v>
      </c>
      <c r="C193" s="24">
        <f>$E$32</f>
        <v>0</v>
      </c>
    </row>
    <row r="194" spans="1:3">
      <c r="A194" s="124" t="str">
        <f>Tableau6[[#Headers],[Cyber Software Infrastructure]]</f>
        <v>Cyber Software Infrastructure</v>
      </c>
      <c r="B194" s="111" t="s">
        <v>22</v>
      </c>
      <c r="C194" s="24">
        <f>$E$33</f>
        <v>0</v>
      </c>
    </row>
    <row r="195" spans="1:3">
      <c r="A195" s="124" t="str">
        <f>Tableau6[[#Headers],[Cyber Software Infrastructure]]</f>
        <v>Cyber Software Infrastructure</v>
      </c>
      <c r="B195" s="111" t="s">
        <v>23</v>
      </c>
      <c r="C195" s="24">
        <f>$E$34</f>
        <v>1223.269311</v>
      </c>
    </row>
    <row r="196" spans="1:3">
      <c r="A196" s="124" t="str">
        <f>Tableau6[[#Headers],[Cyber Software Infrastructure]]</f>
        <v>Cyber Software Infrastructure</v>
      </c>
      <c r="B196" s="111" t="s">
        <v>24</v>
      </c>
      <c r="C196" s="24">
        <f>$E$35</f>
        <v>0</v>
      </c>
    </row>
    <row r="197" spans="1:3">
      <c r="A197" s="124" t="str">
        <f>Tableau6[[#Headers],[Cyber Software Infrastructure]]</f>
        <v>Cyber Software Infrastructure</v>
      </c>
      <c r="B197" s="111" t="s">
        <v>25</v>
      </c>
      <c r="C197" s="24">
        <f>$E$36</f>
        <v>0</v>
      </c>
    </row>
    <row r="198" spans="1:3">
      <c r="A198" s="124" t="str">
        <f>Tableau6[[#Headers],[Cyber Software Infrastructure]]</f>
        <v>Cyber Software Infrastructure</v>
      </c>
      <c r="B198" s="111" t="s">
        <v>26</v>
      </c>
      <c r="C198" s="24">
        <f>$E$37</f>
        <v>0</v>
      </c>
    </row>
    <row r="199" spans="1:3">
      <c r="A199" s="124" t="str">
        <f>Tableau6[[#Headers],[Cyber Software Infrastructure]]</f>
        <v>Cyber Software Infrastructure</v>
      </c>
      <c r="B199" s="112" t="s">
        <v>27</v>
      </c>
      <c r="C199" s="24">
        <f>$E$38</f>
        <v>1595.5686659999999</v>
      </c>
    </row>
    <row r="200" spans="1:3">
      <c r="A200" s="124" t="str">
        <f>Tableau6[[#Headers],[External services]]</f>
        <v>External services</v>
      </c>
      <c r="B200" s="111" t="s">
        <v>14</v>
      </c>
      <c r="C200" s="24">
        <f>$F$25</f>
        <v>0</v>
      </c>
    </row>
    <row r="201" spans="1:3">
      <c r="A201" s="124" t="str">
        <f>Tableau6[[#Headers],[External services]]</f>
        <v>External services</v>
      </c>
      <c r="B201" s="111" t="s">
        <v>15</v>
      </c>
      <c r="C201" s="24">
        <f>$F$26</f>
        <v>7.4418396597186014</v>
      </c>
    </row>
    <row r="202" spans="1:3">
      <c r="A202" s="124" t="str">
        <f>Tableau6[[#Headers],[External services]]</f>
        <v>External services</v>
      </c>
      <c r="B202" s="111" t="s">
        <v>16</v>
      </c>
      <c r="C202" s="24">
        <f>$F$27</f>
        <v>0</v>
      </c>
    </row>
    <row r="203" spans="1:3">
      <c r="A203" s="124" t="str">
        <f>Tableau6[[#Headers],[External services]]</f>
        <v>External services</v>
      </c>
      <c r="B203" s="111" t="s">
        <v>17</v>
      </c>
      <c r="C203" s="24">
        <f>$F$28</f>
        <v>0</v>
      </c>
    </row>
    <row r="204" spans="1:3">
      <c r="A204" s="124" t="str">
        <f>Tableau6[[#Headers],[External services]]</f>
        <v>External services</v>
      </c>
      <c r="B204" s="111" t="s">
        <v>18</v>
      </c>
      <c r="C204" s="24">
        <f>$F$29</f>
        <v>0</v>
      </c>
    </row>
    <row r="205" spans="1:3">
      <c r="A205" s="124" t="str">
        <f>Tableau6[[#Headers],[External services]]</f>
        <v>External services</v>
      </c>
      <c r="B205" s="111" t="s">
        <v>19</v>
      </c>
      <c r="C205" s="24">
        <f>$F$30</f>
        <v>0</v>
      </c>
    </row>
    <row r="206" spans="1:3">
      <c r="A206" s="124" t="str">
        <f>Tableau6[[#Headers],[External services]]</f>
        <v>External services</v>
      </c>
      <c r="B206" s="111" t="s">
        <v>20</v>
      </c>
      <c r="C206" s="24">
        <f>$F$31</f>
        <v>0</v>
      </c>
    </row>
    <row r="207" spans="1:3">
      <c r="A207" s="124" t="str">
        <f>Tableau6[[#Headers],[External services]]</f>
        <v>External services</v>
      </c>
      <c r="B207" s="111" t="s">
        <v>21</v>
      </c>
      <c r="C207" s="24">
        <f>$F$32</f>
        <v>0</v>
      </c>
    </row>
    <row r="208" spans="1:3">
      <c r="A208" s="124" t="str">
        <f>Tableau6[[#Headers],[External services]]</f>
        <v>External services</v>
      </c>
      <c r="B208" s="111" t="s">
        <v>22</v>
      </c>
      <c r="C208" s="24">
        <f>$F$33</f>
        <v>0</v>
      </c>
    </row>
    <row r="209" spans="1:3">
      <c r="A209" s="124" t="str">
        <f>Tableau6[[#Headers],[External services]]</f>
        <v>External services</v>
      </c>
      <c r="B209" s="111" t="s">
        <v>23</v>
      </c>
      <c r="C209" s="24">
        <f>$F$34</f>
        <v>15.470355135921537</v>
      </c>
    </row>
    <row r="210" spans="1:3">
      <c r="A210" s="124" t="str">
        <f>Tableau6[[#Headers],[External services]]</f>
        <v>External services</v>
      </c>
      <c r="B210" s="111" t="s">
        <v>24</v>
      </c>
      <c r="C210" s="24">
        <f>$F$35</f>
        <v>0</v>
      </c>
    </row>
    <row r="211" spans="1:3">
      <c r="A211" s="124" t="str">
        <f>Tableau6[[#Headers],[External services]]</f>
        <v>External services</v>
      </c>
      <c r="B211" s="111" t="s">
        <v>25</v>
      </c>
      <c r="C211" s="24">
        <f>$F$36</f>
        <v>0</v>
      </c>
    </row>
    <row r="212" spans="1:3">
      <c r="A212" s="124" t="str">
        <f>Tableau6[[#Headers],[External services]]</f>
        <v>External services</v>
      </c>
      <c r="B212" s="111" t="s">
        <v>26</v>
      </c>
      <c r="C212" s="24">
        <f>$F$37</f>
        <v>0.31970883174120279</v>
      </c>
    </row>
    <row r="213" spans="1:3">
      <c r="A213" s="124" t="str">
        <f>Tableau6[[#Headers],[External services]]</f>
        <v>External services</v>
      </c>
      <c r="B213" s="112" t="s">
        <v>27</v>
      </c>
      <c r="C213" s="24">
        <f>$F$38</f>
        <v>368.14999331103951</v>
      </c>
    </row>
    <row r="214" spans="1:3">
      <c r="A214" s="124" t="str">
        <f>Tableau6[[#Headers],[Travel]]</f>
        <v>Travel</v>
      </c>
      <c r="B214" s="111" t="s">
        <v>14</v>
      </c>
      <c r="C214" s="24">
        <f>$G$25</f>
        <v>0</v>
      </c>
    </row>
    <row r="215" spans="1:3">
      <c r="A215" s="124" t="str">
        <f>Tableau6[[#Headers],[Travel]]</f>
        <v>Travel</v>
      </c>
      <c r="B215" s="111" t="s">
        <v>15</v>
      </c>
      <c r="C215" s="24">
        <f>$G$26</f>
        <v>0</v>
      </c>
    </row>
    <row r="216" spans="1:3">
      <c r="A216" s="124" t="str">
        <f>Tableau6[[#Headers],[Travel]]</f>
        <v>Travel</v>
      </c>
      <c r="B216" s="111" t="s">
        <v>16</v>
      </c>
      <c r="C216" s="24">
        <f>$G$27</f>
        <v>0</v>
      </c>
    </row>
    <row r="217" spans="1:3">
      <c r="A217" s="124" t="str">
        <f>Tableau6[[#Headers],[Travel]]</f>
        <v>Travel</v>
      </c>
      <c r="B217" s="111" t="s">
        <v>17</v>
      </c>
      <c r="C217" s="24">
        <f>$G$28</f>
        <v>0</v>
      </c>
    </row>
    <row r="218" spans="1:3">
      <c r="A218" s="124" t="str">
        <f>Tableau6[[#Headers],[Travel]]</f>
        <v>Travel</v>
      </c>
      <c r="B218" s="111" t="s">
        <v>18</v>
      </c>
      <c r="C218" s="24">
        <f>$G$29</f>
        <v>0</v>
      </c>
    </row>
    <row r="219" spans="1:3">
      <c r="A219" s="124" t="str">
        <f>Tableau6[[#Headers],[Travel]]</f>
        <v>Travel</v>
      </c>
      <c r="B219" s="111" t="s">
        <v>19</v>
      </c>
      <c r="C219" s="24">
        <f>$G$30</f>
        <v>0</v>
      </c>
    </row>
    <row r="220" spans="1:3">
      <c r="A220" s="124" t="str">
        <f>Tableau6[[#Headers],[Travel]]</f>
        <v>Travel</v>
      </c>
      <c r="B220" s="111" t="s">
        <v>20</v>
      </c>
      <c r="C220" s="24">
        <f>$G$31</f>
        <v>385.24667001999995</v>
      </c>
    </row>
    <row r="221" spans="1:3">
      <c r="A221" s="124" t="str">
        <f>Tableau6[[#Headers],[Travel]]</f>
        <v>Travel</v>
      </c>
      <c r="B221" s="111" t="s">
        <v>21</v>
      </c>
      <c r="C221" s="24">
        <f>$G$32</f>
        <v>0</v>
      </c>
    </row>
    <row r="222" spans="1:3">
      <c r="A222" s="124" t="str">
        <f>Tableau6[[#Headers],[Travel]]</f>
        <v>Travel</v>
      </c>
      <c r="B222" s="111" t="s">
        <v>22</v>
      </c>
      <c r="C222" s="24">
        <f>$G$33</f>
        <v>0</v>
      </c>
    </row>
    <row r="223" spans="1:3">
      <c r="A223" s="124" t="str">
        <f>Tableau6[[#Headers],[Travel]]</f>
        <v>Travel</v>
      </c>
      <c r="B223" s="111" t="s">
        <v>23</v>
      </c>
      <c r="C223" s="24">
        <f>$G$34</f>
        <v>0</v>
      </c>
    </row>
    <row r="224" spans="1:3">
      <c r="A224" s="124" t="str">
        <f>Tableau6[[#Headers],[Travel]]</f>
        <v>Travel</v>
      </c>
      <c r="B224" s="111" t="s">
        <v>24</v>
      </c>
      <c r="C224" s="24">
        <f>$G$35</f>
        <v>0</v>
      </c>
    </row>
    <row r="225" spans="1:3">
      <c r="A225" s="124" t="str">
        <f>Tableau6[[#Headers],[Travel]]</f>
        <v>Travel</v>
      </c>
      <c r="B225" s="111" t="s">
        <v>25</v>
      </c>
      <c r="C225" s="24">
        <f>$G$36</f>
        <v>0</v>
      </c>
    </row>
    <row r="226" spans="1:3">
      <c r="A226" s="124" t="str">
        <f>Tableau6[[#Headers],[Travel]]</f>
        <v>Travel</v>
      </c>
      <c r="B226" s="111" t="s">
        <v>26</v>
      </c>
      <c r="C226" s="24">
        <f>$G$37</f>
        <v>0</v>
      </c>
    </row>
    <row r="227" spans="1:3">
      <c r="A227" s="124" t="str">
        <f>Tableau6[[#Headers],[Travel]]</f>
        <v>Travel</v>
      </c>
      <c r="B227" s="112" t="s">
        <v>27</v>
      </c>
      <c r="C227" s="24">
        <f>$G$38</f>
        <v>0</v>
      </c>
    </row>
    <row r="228" spans="1:3">
      <c r="A228" s="124" t="str">
        <f>Tableau6[[#Headers],[Non cyber equipments]]</f>
        <v>Non cyber equipments</v>
      </c>
      <c r="B228" s="111" t="s">
        <v>14</v>
      </c>
      <c r="C228" s="24">
        <f>H25</f>
        <v>0</v>
      </c>
    </row>
    <row r="229" spans="1:3">
      <c r="A229" s="124" t="str">
        <f>Tableau6[[#Headers],[Non cyber equipments]]</f>
        <v>Non cyber equipments</v>
      </c>
      <c r="B229" s="111" t="s">
        <v>15</v>
      </c>
      <c r="C229" s="24">
        <f t="shared" ref="C229:C241" si="0">H26</f>
        <v>0</v>
      </c>
    </row>
    <row r="230" spans="1:3">
      <c r="A230" s="124" t="str">
        <f>Tableau6[[#Headers],[Non cyber equipments]]</f>
        <v>Non cyber equipments</v>
      </c>
      <c r="B230" s="111" t="s">
        <v>16</v>
      </c>
      <c r="C230" s="24">
        <f t="shared" si="0"/>
        <v>0</v>
      </c>
    </row>
    <row r="231" spans="1:3">
      <c r="A231" s="124" t="str">
        <f>Tableau6[[#Headers],[Non cyber equipments]]</f>
        <v>Non cyber equipments</v>
      </c>
      <c r="B231" s="111" t="s">
        <v>17</v>
      </c>
      <c r="C231" s="24">
        <f t="shared" si="0"/>
        <v>0</v>
      </c>
    </row>
    <row r="232" spans="1:3">
      <c r="A232" s="124" t="str">
        <f>Tableau6[[#Headers],[Non cyber equipments]]</f>
        <v>Non cyber equipments</v>
      </c>
      <c r="B232" s="111" t="s">
        <v>18</v>
      </c>
      <c r="C232" s="24">
        <f t="shared" si="0"/>
        <v>8.1166390390833332</v>
      </c>
    </row>
    <row r="233" spans="1:3">
      <c r="A233" s="124" t="str">
        <f>Tableau6[[#Headers],[Non cyber equipments]]</f>
        <v>Non cyber equipments</v>
      </c>
      <c r="B233" s="111" t="s">
        <v>19</v>
      </c>
      <c r="C233" s="24">
        <f t="shared" si="0"/>
        <v>0.61033191900000006</v>
      </c>
    </row>
    <row r="234" spans="1:3">
      <c r="A234" s="124" t="str">
        <f>Tableau6[[#Headers],[Non cyber equipments]]</f>
        <v>Non cyber equipments</v>
      </c>
      <c r="B234" s="111" t="s">
        <v>20</v>
      </c>
      <c r="C234" s="24">
        <f t="shared" si="0"/>
        <v>0</v>
      </c>
    </row>
    <row r="235" spans="1:3">
      <c r="A235" s="124" t="str">
        <f>Tableau6[[#Headers],[Non cyber equipments]]</f>
        <v>Non cyber equipments</v>
      </c>
      <c r="B235" s="111" t="s">
        <v>21</v>
      </c>
      <c r="C235" s="24">
        <f t="shared" si="0"/>
        <v>0</v>
      </c>
    </row>
    <row r="236" spans="1:3">
      <c r="A236" s="124" t="str">
        <f>Tableau6[[#Headers],[Non cyber equipments]]</f>
        <v>Non cyber equipments</v>
      </c>
      <c r="B236" s="111" t="s">
        <v>22</v>
      </c>
      <c r="C236" s="24">
        <f t="shared" si="0"/>
        <v>0</v>
      </c>
    </row>
    <row r="237" spans="1:3">
      <c r="A237" s="124" t="str">
        <f>Tableau6[[#Headers],[Non cyber equipments]]</f>
        <v>Non cyber equipments</v>
      </c>
      <c r="B237" s="111" t="s">
        <v>23</v>
      </c>
      <c r="C237" s="24">
        <f t="shared" si="0"/>
        <v>0</v>
      </c>
    </row>
    <row r="238" spans="1:3">
      <c r="A238" s="124" t="str">
        <f>Tableau6[[#Headers],[Non cyber equipments]]</f>
        <v>Non cyber equipments</v>
      </c>
      <c r="B238" s="111" t="s">
        <v>24</v>
      </c>
      <c r="C238" s="24">
        <f t="shared" si="0"/>
        <v>24.349917117249998</v>
      </c>
    </row>
    <row r="239" spans="1:3">
      <c r="A239" s="124" t="str">
        <f>Tableau6[[#Headers],[Non cyber equipments]]</f>
        <v>Non cyber equipments</v>
      </c>
      <c r="B239" s="111" t="s">
        <v>25</v>
      </c>
      <c r="C239" s="24">
        <f t="shared" si="0"/>
        <v>0</v>
      </c>
    </row>
    <row r="240" spans="1:3">
      <c r="A240" s="124" t="str">
        <f>Tableau6[[#Headers],[Non cyber equipments]]</f>
        <v>Non cyber equipments</v>
      </c>
      <c r="B240" s="111" t="s">
        <v>26</v>
      </c>
      <c r="C240" s="24">
        <f t="shared" si="0"/>
        <v>0</v>
      </c>
    </row>
    <row r="241" spans="1:3">
      <c r="A241" s="124" t="str">
        <f>Tableau6[[#Headers],[Non cyber equipments]]</f>
        <v>Non cyber equipments</v>
      </c>
      <c r="B241" s="112" t="s">
        <v>27</v>
      </c>
      <c r="C241" s="24">
        <f t="shared" si="0"/>
        <v>0</v>
      </c>
    </row>
  </sheetData>
  <mergeCells count="1">
    <mergeCell ref="B23:G23"/>
  </mergeCells>
  <pageMargins left="0.7" right="0.7" top="0.75" bottom="0.75" header="0.3" footer="0.3"/>
  <drawing r:id="rId1"/>
  <tableParts count="4">
    <tablePart r:id="rId2"/>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66B6-01E5-4459-B817-5738352CEA55}">
  <sheetPr>
    <tabColor theme="5" tint="0.39997558519241921"/>
  </sheetPr>
  <dimension ref="A1:E60"/>
  <sheetViews>
    <sheetView showGridLines="0" tabSelected="1" topLeftCell="A13" zoomScale="70" zoomScaleNormal="70" workbookViewId="0">
      <selection activeCell="A23" sqref="A23"/>
    </sheetView>
  </sheetViews>
  <sheetFormatPr defaultColWidth="11.42578125" defaultRowHeight="14.45"/>
  <cols>
    <col min="1" max="1" width="48.5703125" customWidth="1"/>
    <col min="2" max="2" width="28.140625" customWidth="1"/>
    <col min="3" max="3" width="20.5703125" customWidth="1"/>
    <col min="4" max="4" width="20.85546875" customWidth="1"/>
  </cols>
  <sheetData>
    <row r="1" spans="1:5">
      <c r="A1" s="50" t="s">
        <v>696</v>
      </c>
      <c r="B1" s="24">
        <f>Total</f>
        <v>5336.9783993121509</v>
      </c>
    </row>
    <row r="3" spans="1:5">
      <c r="A3" s="50" t="s">
        <v>784</v>
      </c>
      <c r="B3" s="50" t="s">
        <v>792</v>
      </c>
      <c r="C3" s="50" t="s">
        <v>793</v>
      </c>
      <c r="D3" s="50" t="s">
        <v>785</v>
      </c>
      <c r="E3" s="50" t="s">
        <v>786</v>
      </c>
    </row>
    <row r="4" spans="1:5">
      <c r="A4" t="str">
        <f>Tableau6[[#Headers],[Cyber devices]]</f>
        <v>Cyber devices</v>
      </c>
      <c r="B4" s="24">
        <f>Scope2_Devices</f>
        <v>9.5868855000000011</v>
      </c>
      <c r="C4" s="24">
        <f>Scope3_Devices</f>
        <v>14.070826891666666</v>
      </c>
      <c r="D4" s="24">
        <f>SUM(Tableau853[[#This Row],[Scope 2 (tCO2e)]:[Scope 3 (tCO2e)]])</f>
        <v>23.657712391666667</v>
      </c>
      <c r="E4" s="53">
        <f>Tableau853[[#This Row],[tCO2e]]/$B$1</f>
        <v>4.4327914826703734E-3</v>
      </c>
    </row>
    <row r="5" spans="1:5">
      <c r="A5" t="str">
        <f>Tableau6[[#Headers],[Network]]</f>
        <v>Network</v>
      </c>
      <c r="B5" s="24">
        <f>Scope2_Network</f>
        <v>27.451311839999995</v>
      </c>
      <c r="C5" s="24">
        <f>Scope3_Network</f>
        <v>22.987971428571431</v>
      </c>
      <c r="D5" s="24">
        <f>SUM(Tableau853[[#This Row],[Scope 2 (tCO2e)]:[Scope 3 (tCO2e)]])</f>
        <v>50.43928326857143</v>
      </c>
      <c r="E5" s="53">
        <f>Tableau853[[#This Row],[tCO2e]]/$B$1</f>
        <v>9.4509063921023595E-3</v>
      </c>
    </row>
    <row r="6" spans="1:5">
      <c r="A6" t="str">
        <f>Tableau6[[#Headers],[Backup Servers]]</f>
        <v>Backup Servers</v>
      </c>
      <c r="B6" s="24">
        <f>Scope2_Servers</f>
        <v>6.4138688906399999</v>
      </c>
      <c r="C6" s="24">
        <f>Scope3_Servers</f>
        <v>12.723155555555556</v>
      </c>
      <c r="D6" s="24">
        <f>SUM(Tableau853[[#This Row],[Scope 2 (tCO2e)]:[Scope 3 (tCO2e)]])</f>
        <v>19.137024446195554</v>
      </c>
      <c r="E6" s="53">
        <f>Tableau853[[#This Row],[tCO2e]]/$B$1</f>
        <v>3.5857414091580364E-3</v>
      </c>
    </row>
    <row r="7" spans="1:5">
      <c r="A7" t="str">
        <f>Tableau6[[#Headers],[Cyber Software Infrastructure]]</f>
        <v>Cyber Software Infrastructure</v>
      </c>
      <c r="B7" s="24">
        <f>Scope2_Solutions</f>
        <v>9.4553667676800011</v>
      </c>
      <c r="C7" s="24">
        <f>Scope3_Solutions</f>
        <v>4424.5835574042821</v>
      </c>
      <c r="D7" s="24">
        <f>SUM(Tableau853[[#This Row],[Scope 2 (tCO2e)]:[Scope 3 (tCO2e)]])</f>
        <v>4434.0389241719622</v>
      </c>
      <c r="E7" s="53">
        <f>Tableau853[[#This Row],[tCO2e]]/$B$1</f>
        <v>0.83081447823424526</v>
      </c>
    </row>
    <row r="8" spans="1:5">
      <c r="A8" t="str">
        <f>Tableau6[[#Headers],[External services]]</f>
        <v>External services</v>
      </c>
      <c r="B8" s="24">
        <f>Scope2_External</f>
        <v>0</v>
      </c>
      <c r="C8" s="24">
        <f>Scope3_External</f>
        <v>391.38189693842082</v>
      </c>
      <c r="D8" s="24">
        <f>SUM(Tableau853[[#This Row],[Scope 2 (tCO2e)]:[Scope 3 (tCO2e)]])</f>
        <v>391.38189693842082</v>
      </c>
      <c r="E8" s="53">
        <f>Tableau853[[#This Row],[tCO2e]]/$B$1</f>
        <v>7.3333985572972063E-2</v>
      </c>
    </row>
    <row r="9" spans="1:5">
      <c r="A9" t="str">
        <f>Tableau6[[#Headers],[Travel]]</f>
        <v>Travel</v>
      </c>
      <c r="B9" s="24">
        <f>Scope2_Travel</f>
        <v>0</v>
      </c>
      <c r="C9" s="24">
        <f>Scope3_Travel</f>
        <v>385.24667001999995</v>
      </c>
      <c r="D9" s="24">
        <f>SUM(Tableau853[[#This Row],[Scope 2 (tCO2e)]:[Scope 3 (tCO2e)]])</f>
        <v>385.24667001999995</v>
      </c>
      <c r="E9" s="53">
        <f>Tableau853[[#This Row],[tCO2e]]/$B$1</f>
        <v>7.2184416198808665E-2</v>
      </c>
    </row>
    <row r="10" spans="1:5">
      <c r="A10" t="str">
        <f>Tableau6[[#Headers],[Non cyber equipments]]</f>
        <v>Non cyber equipments</v>
      </c>
      <c r="B10" s="24" cm="1">
        <f t="array" ref="B10">Scope2_Non_Cyber</f>
        <v>16.915796818000004</v>
      </c>
      <c r="C10" s="24" cm="1">
        <f t="array" ref="C10">Scope3_Non_Cyber</f>
        <v>16.161091257333332</v>
      </c>
      <c r="D10" s="24">
        <f>SUM(Tableau853[[#This Row],[Scope 2 (tCO2e)]:[Scope 3 (tCO2e)]])</f>
        <v>33.076888075333336</v>
      </c>
      <c r="E10" s="53">
        <f>Tableau853[[#This Row],[tCO2e]]/$B$1</f>
        <v>6.1976807100430475E-3</v>
      </c>
    </row>
    <row r="12" spans="1:5">
      <c r="A12" s="128" t="s">
        <v>245</v>
      </c>
      <c r="B12" s="128" t="s">
        <v>785</v>
      </c>
    </row>
    <row r="13" spans="1:5">
      <c r="A13" t="s">
        <v>794</v>
      </c>
      <c r="B13" s="24">
        <f>Total_Scope2</f>
        <v>69.823229816320008</v>
      </c>
    </row>
    <row r="14" spans="1:5">
      <c r="A14" t="s">
        <v>795</v>
      </c>
      <c r="B14" s="24">
        <f>Total_Scope3</f>
        <v>5267.1551694958298</v>
      </c>
    </row>
    <row r="22" spans="1:3">
      <c r="A22" s="330" t="s">
        <v>791</v>
      </c>
      <c r="B22" s="331" t="s">
        <v>796</v>
      </c>
      <c r="C22" s="212" t="s">
        <v>785</v>
      </c>
    </row>
    <row r="23" spans="1:3">
      <c r="A23" s="209" t="str">
        <f>Tableau6[[#Headers],[Non cyber equipments]]</f>
        <v>Non cyber equipments</v>
      </c>
      <c r="B23" s="205" t="s">
        <v>797</v>
      </c>
      <c r="C23" s="211">
        <f>Mapping_Non_Cyber_Results_by_TOPIC[[#Totals],[Workstation_Laptop]]/1000</f>
        <v>8.9435082954000009</v>
      </c>
    </row>
    <row r="24" spans="1:3">
      <c r="A24" s="209" t="str">
        <f>Tableau6[[#Headers],[Non cyber equipments]]</f>
        <v>Non cyber equipments</v>
      </c>
      <c r="B24" s="205" t="s">
        <v>798</v>
      </c>
      <c r="C24" s="211">
        <f>Mapping_Non_Cyber_Results_by_TOPIC[[#Totals],[Workstation_Desktop]]/1000</f>
        <v>21.438808077999997</v>
      </c>
    </row>
    <row r="25" spans="1:3">
      <c r="A25" s="209" t="str">
        <f>Tableau6[[#Headers],[Non cyber equipments]]</f>
        <v>Non cyber equipments</v>
      </c>
      <c r="B25" s="205" t="s">
        <v>799</v>
      </c>
      <c r="C25" s="211">
        <f>Mapping_Non_Cyber_Results_by_TOPIC[[#Totals],[Non Cyber Servers]]/1000</f>
        <v>2.6945717019333335</v>
      </c>
    </row>
    <row r="26" spans="1:3">
      <c r="A26" s="209" t="str">
        <f>Tableau6[[#Headers],[Non cyber equipments]]</f>
        <v>Non cyber equipments</v>
      </c>
      <c r="B26" s="205" t="s">
        <v>419</v>
      </c>
      <c r="C26" s="211">
        <f>Mapping_Non_Cyber_Results_by_TOPIC[[#Totals],[VDI]]/1000</f>
        <v>0</v>
      </c>
    </row>
    <row r="27" spans="1:3">
      <c r="A27" s="209" t="s">
        <v>800</v>
      </c>
      <c r="B27" s="205" t="s">
        <v>801</v>
      </c>
      <c r="C27" s="211">
        <f>Mapping_Servers_Results_by_TOPIC[[#Totals],[Backup servers]]/1000</f>
        <v>14.055627037626666</v>
      </c>
    </row>
    <row r="28" spans="1:3">
      <c r="A28" s="209" t="s">
        <v>800</v>
      </c>
      <c r="B28" s="205" t="s">
        <v>802</v>
      </c>
      <c r="C28" s="211">
        <f>Mapping_Servers_Results_by_TOPIC[[#Totals],[Redundant servers]]/1000</f>
        <v>5.0813974085688889</v>
      </c>
    </row>
    <row r="29" spans="1:3">
      <c r="A29" s="210" t="s">
        <v>803</v>
      </c>
      <c r="B29" s="205" t="s">
        <v>804</v>
      </c>
      <c r="C29" s="211">
        <f>'2.4 Mapping CyberSoftware Infra'!D30/1000</f>
        <v>19.632281171962681</v>
      </c>
    </row>
    <row r="30" spans="1:3">
      <c r="A30" s="210" t="s">
        <v>803</v>
      </c>
      <c r="B30" s="205" t="s">
        <v>805</v>
      </c>
      <c r="C30" s="211">
        <f>'2.4 Mapping CyberSoftware Infra'!E30/1000</f>
        <v>4414.4066430000003</v>
      </c>
    </row>
    <row r="31" spans="1:3">
      <c r="A31" s="210" t="s">
        <v>193</v>
      </c>
      <c r="B31" s="205" t="s">
        <v>365</v>
      </c>
      <c r="C31" s="211">
        <f>Mapping_Device_Results_by_TOPIC[[#Totals],[Workstation_Laptop]]/1000</f>
        <v>14.950307250000002</v>
      </c>
    </row>
    <row r="32" spans="1:3">
      <c r="A32" s="210" t="s">
        <v>193</v>
      </c>
      <c r="B32" s="205" t="s">
        <v>806</v>
      </c>
      <c r="C32" s="211">
        <f>Mapping_Device_Results_by_TOPIC[[#Totals],[Workstation_Desktop]]/1000</f>
        <v>2.7333174750000007</v>
      </c>
    </row>
    <row r="33" spans="1:3">
      <c r="A33" s="210" t="s">
        <v>193</v>
      </c>
      <c r="B33" s="205" t="s">
        <v>260</v>
      </c>
      <c r="C33" s="211">
        <f>Mapping_Device_Results_by_TOPIC[[#Totals],[Screens]]/1000</f>
        <v>5.3285125000000004</v>
      </c>
    </row>
    <row r="34" spans="1:3">
      <c r="A34" s="210" t="s">
        <v>193</v>
      </c>
      <c r="B34" s="205" t="s">
        <v>263</v>
      </c>
      <c r="C34" s="211">
        <f>Mapping_Device_Results_by_TOPIC[[#Totals],[Smartphones]]/1000</f>
        <v>0.64557516666666637</v>
      </c>
    </row>
    <row r="35" spans="1:3">
      <c r="A35" s="210" t="s">
        <v>194</v>
      </c>
      <c r="B35" s="205" t="s">
        <v>807</v>
      </c>
      <c r="C35" s="211">
        <f>'2.2 Mapping Network'!H34/1000</f>
        <v>18.493701600000001</v>
      </c>
    </row>
    <row r="36" spans="1:3">
      <c r="A36" s="210" t="s">
        <v>194</v>
      </c>
      <c r="B36" s="205" t="s">
        <v>808</v>
      </c>
      <c r="C36" s="211">
        <f>'2.2 Mapping Network'!H35/1000</f>
        <v>15.972790834285716</v>
      </c>
    </row>
    <row r="37" spans="1:3">
      <c r="A37" s="210" t="s">
        <v>194</v>
      </c>
      <c r="B37" s="205" t="s">
        <v>809</v>
      </c>
      <c r="C37" s="211">
        <f>'2.2 Mapping Network'!H36/1000</f>
        <v>15.972790834285716</v>
      </c>
    </row>
    <row r="38" spans="1:3">
      <c r="A38" s="210" t="s">
        <v>197</v>
      </c>
      <c r="B38" s="205" t="s">
        <v>810</v>
      </c>
      <c r="C38" s="211">
        <f>'2.5 Mapping External services'!D30/1000</f>
        <v>360.12147783483658</v>
      </c>
    </row>
    <row r="39" spans="1:3">
      <c r="A39" s="210" t="s">
        <v>197</v>
      </c>
      <c r="B39" s="205" t="s">
        <v>811</v>
      </c>
      <c r="C39" s="211">
        <f>'2.5 Mapping External services'!E30/1000</f>
        <v>31.260419103584272</v>
      </c>
    </row>
    <row r="40" spans="1:3">
      <c r="A40" s="210" t="s">
        <v>198</v>
      </c>
      <c r="B40" s="205" t="s">
        <v>344</v>
      </c>
      <c r="C40" s="211">
        <f>'2.6 Mapping Travel'!F34/1000</f>
        <v>385.135289</v>
      </c>
    </row>
    <row r="41" spans="1:3" ht="15" customHeight="1">
      <c r="A41" s="210" t="s">
        <v>198</v>
      </c>
      <c r="B41" s="205" t="s">
        <v>346</v>
      </c>
      <c r="C41" s="211">
        <f>'2.6 Mapping Travel'!F35/1000</f>
        <v>0</v>
      </c>
    </row>
    <row r="42" spans="1:3" ht="15" customHeight="1">
      <c r="A42" s="213" t="s">
        <v>198</v>
      </c>
      <c r="B42" s="214" t="s">
        <v>348</v>
      </c>
      <c r="C42" s="215">
        <f>'2.6 Mapping Travel'!F36/1000</f>
        <v>0.11138102</v>
      </c>
    </row>
    <row r="43" spans="1:3" ht="15" customHeight="1"/>
    <row r="44" spans="1:3" ht="15" customHeight="1"/>
    <row r="45" spans="1:3" ht="15" customHeight="1"/>
    <row r="46" spans="1:3" ht="15" customHeight="1"/>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sheetData>
  <phoneticPr fontId="13" type="noConversion"/>
  <pageMargins left="0.7" right="0.7" top="0.75" bottom="0.75" header="0.3" footer="0.3"/>
  <drawing r:id="rId1"/>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2F99-3CC7-4631-825D-42471EEC92B9}">
  <sheetPr>
    <tabColor theme="5" tint="-0.249977111117893"/>
  </sheetPr>
  <dimension ref="A1:W12"/>
  <sheetViews>
    <sheetView showGridLines="0" zoomScale="55" zoomScaleNormal="55" workbookViewId="0">
      <selection activeCell="A4" sqref="A4:N4"/>
    </sheetView>
  </sheetViews>
  <sheetFormatPr defaultColWidth="8.85546875" defaultRowHeight="14.45"/>
  <cols>
    <col min="1" max="1" width="16.5703125" style="3" bestFit="1" customWidth="1"/>
    <col min="2" max="2" width="14" style="81" customWidth="1"/>
    <col min="3" max="3" width="15.42578125" style="3" bestFit="1" customWidth="1"/>
    <col min="4" max="4" width="15.42578125" style="81" customWidth="1"/>
    <col min="5" max="5" width="16.5703125" style="3" bestFit="1" customWidth="1"/>
    <col min="6" max="6" width="20.140625" style="81" customWidth="1"/>
    <col min="7" max="7" width="16" style="3" customWidth="1"/>
    <col min="8" max="8" width="12.85546875" style="81" customWidth="1"/>
    <col min="9" max="9" width="19.5703125" style="3" customWidth="1"/>
    <col min="10" max="10" width="15.85546875" style="81" customWidth="1"/>
    <col min="11" max="11" width="17.5703125" style="3" customWidth="1"/>
    <col min="12" max="13" width="16.140625" style="81" customWidth="1"/>
    <col min="14" max="14" width="18.5703125" style="81" customWidth="1"/>
    <col min="15" max="15" width="3.140625" style="82" customWidth="1"/>
    <col min="16" max="16" width="57" style="3" bestFit="1" customWidth="1"/>
    <col min="17" max="17" width="8.85546875" style="3"/>
    <col min="18" max="18" width="3.140625" style="82" customWidth="1"/>
    <col min="19" max="19" width="27.140625" style="3" bestFit="1" customWidth="1"/>
    <col min="20" max="20" width="5.85546875" style="3" bestFit="1" customWidth="1"/>
    <col min="21" max="21" width="5.140625" style="3" customWidth="1"/>
    <col min="22" max="22" width="31.85546875" style="3" bestFit="1" customWidth="1"/>
    <col min="23" max="23" width="5.85546875" style="3" bestFit="1" customWidth="1"/>
    <col min="24" max="16384" width="8.85546875" style="3"/>
  </cols>
  <sheetData>
    <row r="1" spans="1:23" ht="24" thickBot="1">
      <c r="A1" s="206" t="s">
        <v>67</v>
      </c>
    </row>
    <row r="2" spans="1:23">
      <c r="A2" s="83"/>
      <c r="P2" s="83" t="s">
        <v>812</v>
      </c>
      <c r="S2" s="83" t="s">
        <v>813</v>
      </c>
    </row>
    <row r="3" spans="1:23" ht="57.95">
      <c r="A3" s="313" t="s">
        <v>702</v>
      </c>
      <c r="B3" s="313" t="s">
        <v>703</v>
      </c>
      <c r="C3" s="313" t="s">
        <v>704</v>
      </c>
      <c r="D3" s="313" t="s">
        <v>705</v>
      </c>
      <c r="E3" s="313" t="s">
        <v>706</v>
      </c>
      <c r="F3" s="313" t="s">
        <v>707</v>
      </c>
      <c r="G3" s="313" t="s">
        <v>708</v>
      </c>
      <c r="H3" s="313" t="s">
        <v>709</v>
      </c>
      <c r="I3" s="313" t="s">
        <v>710</v>
      </c>
      <c r="J3" s="313" t="s">
        <v>711</v>
      </c>
      <c r="K3" s="313" t="s">
        <v>712</v>
      </c>
      <c r="L3" s="313" t="s">
        <v>713</v>
      </c>
      <c r="M3" s="313" t="s">
        <v>714</v>
      </c>
      <c r="N3" s="313" t="s">
        <v>715</v>
      </c>
      <c r="P3" s="84" t="s">
        <v>814</v>
      </c>
      <c r="Q3" s="84" t="s">
        <v>786</v>
      </c>
      <c r="S3" s="85" t="s">
        <v>815</v>
      </c>
      <c r="T3" s="86" t="s">
        <v>816</v>
      </c>
      <c r="V3" s="85" t="s">
        <v>817</v>
      </c>
      <c r="W3" s="86"/>
    </row>
    <row r="4" spans="1:23" ht="122.25" customHeight="1">
      <c r="A4" s="310">
        <f>SUMIF(Dashboard_Per_Control[NIST Control],$A$1,Dashboard_Per_Control[Cyber Devices emissions kgCO2e])/(Total*1000)</f>
        <v>0</v>
      </c>
      <c r="B4" s="311" t="str" cm="1">
        <f t="array" ref="B4">IF(
_xlfn.CONCAT(_xlfn._xlws.FILTER(Dashboard_Per_Control[Cyber Devices details],Dashboard_Per_Control[NIST Control]=A1))="","No devices",
_xlfn.CONCAT(_xlfn._xlws.FILTER(Dashboard_Per_Control[Cyber Devices details],Dashboard_Per_Control[NIST Control]=A1)))</f>
        <v>No devices</v>
      </c>
      <c r="C4" s="310">
        <f>SUMIF(Dashboard_Per_Control[NIST Control],$A$1,Dashboard_Per_Control[Network emissions kgCO2e])/(Total*1000)</f>
        <v>0</v>
      </c>
      <c r="D4" s="311" t="str" cm="1">
        <f t="array" ref="D4">IF(
_xlfn.CONCAT(_xlfn._xlws.FILTER(Dashboard_Per_Control[Network details],Dashboard_Per_Control[NIST Control]=A1))="","No network",
_xlfn.CONCAT(_xlfn._xlws.FILTER(Dashboard_Per_Control[Network details],Dashboard_Per_Control[NIST Control]=A1)))</f>
        <v>No network</v>
      </c>
      <c r="E4" s="310">
        <f>SUMIF(Dashboard_Per_Control[NIST Control],$A$1,Dashboard_Per_Control[Backup servers emissions kgCO2e])/(Total*1000)</f>
        <v>0</v>
      </c>
      <c r="F4" s="311" t="str" cm="1">
        <f t="array" ref="F4">IF(
_xlfn.CONCAT(_xlfn._xlws.FILTER(Dashboard_Per_Control[Backup servers details],Dashboard_Per_Control[NIST Control]=A1))="","No server on-premise",
_xlfn.CONCAT(_xlfn._xlws.FILTER(Dashboard_Per_Control[Backup servers details],Dashboard_Per_Control[NIST Control]=A1)))</f>
        <v>No server on-premise</v>
      </c>
      <c r="G4" s="310">
        <f>SUMIF(Dashboard_Per_Control[NIST Control],$A$1,Dashboard_Per_Control[Cyber software infra emissions kgCO2e])/(Total*1000)</f>
        <v>0</v>
      </c>
      <c r="H4" s="311" t="str" cm="1">
        <f t="array" ref="H4">IF(
_xlfn.CONCAT(_xlfn._xlws.FILTER(Dashboard_Per_Control[Cyber software infra details],Dashboard_Per_Control[NIST Control]=A1))="","No cyber solution",
_xlfn.CONCAT(_xlfn._xlws.FILTER(Dashboard_Per_Control[Cyber software infra details],Dashboard_Per_Control[NIST Control]=A1)))</f>
        <v>No cyber solution</v>
      </c>
      <c r="I4" s="310">
        <f>SUMIF(Dashboard_Per_Control[NIST Control],$A$1,Dashboard_Per_Control[External services emissions kgCO2e])/(Total*1000)</f>
        <v>0</v>
      </c>
      <c r="J4" s="311" t="str" cm="1">
        <f t="array" ref="J4">IF(
_xlfn.CONCAT(_xlfn._xlws.FILTER(Dashboard_Per_Control[External services details],Dashboard_Per_Control[NIST Control]=A1))="","No external services",
_xlfn.CONCAT(_xlfn._xlws.FILTER(Dashboard_Per_Control[External services details],Dashboard_Per_Control[NIST Control]=A1)))</f>
        <v>No external services</v>
      </c>
      <c r="K4" s="310">
        <f>SUMIF(Dashboard_Per_Control[NIST Control],$A$1,Dashboard_Per_Control[Travel emissions kgCO2e])/(Total*1000)</f>
        <v>0</v>
      </c>
      <c r="L4" s="311" t="str" cm="1">
        <f t="array" ref="L4">IF(
_xlfn.CONCAT(_xlfn._xlws.FILTER(Dashboard_Per_Control[Travel details],Dashboard_Per_Control[NIST Control]=A1))="","No travel",
_xlfn.CONCAT(_xlfn._xlws.FILTER(Dashboard_Per_Control[Travel details],Dashboard_Per_Control[NIST Control]=A1)))</f>
        <v>No travel</v>
      </c>
      <c r="M4" s="310">
        <f>SUMIF(Dashboard_Per_Control[NIST Control],$A$1,Dashboard_Per_Control[Non cyber equiments emissions kgCO2e2])/(Total*1000)</f>
        <v>0</v>
      </c>
      <c r="N4" s="311" t="str" cm="1">
        <f t="array" ref="N4">IF(
_xlfn.CONCAT(_xlfn._xlws.FILTER(Dashboard_Per_Control[Non cyber equiments detail],Dashboard_Per_Control[NIST Control]=A1))="","No non-cyber equipment",
_xlfn.CONCAT(_xlfn._xlws.FILTER(Dashboard_Per_Control[Non cyber equiments detail],Dashboard_Per_Control[NIST Control]=A1)))</f>
        <v>No non-cyber equipment</v>
      </c>
      <c r="P4" s="87" t="s">
        <v>818</v>
      </c>
      <c r="Q4" s="88">
        <v>0.03</v>
      </c>
      <c r="T4" s="89"/>
      <c r="W4" s="90"/>
    </row>
    <row r="5" spans="1:23">
      <c r="A5" s="177"/>
      <c r="B5" s="312"/>
      <c r="C5" s="177"/>
      <c r="D5" s="312"/>
      <c r="E5" s="177"/>
      <c r="F5" s="312"/>
      <c r="G5" s="177"/>
      <c r="H5" s="312"/>
      <c r="I5" s="177"/>
      <c r="J5" s="312"/>
      <c r="K5" s="177"/>
      <c r="L5" s="312"/>
      <c r="M5" s="312"/>
      <c r="N5" s="312"/>
      <c r="P5" s="91" t="s">
        <v>367</v>
      </c>
      <c r="Q5" s="92">
        <f>SUM(Q4:Q4)</f>
        <v>0.03</v>
      </c>
      <c r="S5" s="54"/>
      <c r="T5" s="92">
        <f>SUM(T4:T4)</f>
        <v>0</v>
      </c>
      <c r="U5" s="54"/>
      <c r="V5" s="54"/>
      <c r="W5" s="92">
        <f>SUM(W4:W4)</f>
        <v>0</v>
      </c>
    </row>
    <row r="6" spans="1:23">
      <c r="A6" s="177"/>
      <c r="B6" s="312"/>
      <c r="C6" s="177"/>
      <c r="D6" s="312"/>
      <c r="E6" s="177"/>
      <c r="F6" s="312"/>
      <c r="G6" s="177"/>
      <c r="H6" s="312"/>
      <c r="I6" s="177"/>
      <c r="J6" s="312"/>
      <c r="K6" s="177"/>
      <c r="L6" s="312"/>
      <c r="M6" s="312"/>
      <c r="N6" s="312"/>
    </row>
    <row r="7" spans="1:23">
      <c r="A7" s="177"/>
      <c r="B7" s="312"/>
      <c r="C7" s="177"/>
      <c r="D7" s="312"/>
      <c r="E7" s="177"/>
      <c r="F7" s="312"/>
      <c r="G7" s="177"/>
      <c r="H7" s="312"/>
      <c r="I7" s="177"/>
      <c r="J7" s="312"/>
      <c r="K7" s="177"/>
      <c r="L7" s="312"/>
      <c r="M7" s="312"/>
      <c r="N7" s="312"/>
    </row>
    <row r="8" spans="1:23">
      <c r="A8" s="177"/>
      <c r="B8" s="312"/>
      <c r="C8" s="177"/>
      <c r="D8" s="312"/>
      <c r="E8" s="177"/>
      <c r="F8" s="312"/>
      <c r="G8" s="177"/>
      <c r="H8" s="312"/>
      <c r="I8" s="177"/>
      <c r="J8" s="312"/>
      <c r="K8" s="177"/>
      <c r="L8" s="312"/>
      <c r="M8" s="312"/>
      <c r="N8" s="312"/>
    </row>
    <row r="9" spans="1:23">
      <c r="A9" s="177"/>
      <c r="B9" s="312"/>
      <c r="C9" s="177"/>
      <c r="D9" s="312"/>
      <c r="E9" s="177"/>
      <c r="F9" s="312"/>
      <c r="G9" s="177"/>
      <c r="H9" s="312"/>
      <c r="I9" s="177"/>
      <c r="J9" s="312"/>
      <c r="K9" s="177"/>
      <c r="L9" s="312"/>
      <c r="M9" s="312"/>
      <c r="N9" s="312"/>
    </row>
    <row r="10" spans="1:23">
      <c r="A10" s="177"/>
      <c r="B10" s="312"/>
      <c r="C10" s="177"/>
      <c r="D10" s="312"/>
      <c r="E10" s="177"/>
      <c r="F10" s="312"/>
      <c r="G10" s="177"/>
      <c r="H10" s="312"/>
      <c r="I10" s="177"/>
      <c r="J10" s="312"/>
      <c r="K10" s="177"/>
      <c r="L10" s="312"/>
      <c r="M10" s="312"/>
      <c r="N10" s="312"/>
    </row>
    <row r="11" spans="1:23">
      <c r="A11" s="177"/>
      <c r="B11" s="312"/>
      <c r="C11" s="177"/>
      <c r="D11" s="312"/>
      <c r="E11" s="177"/>
      <c r="F11" s="312"/>
      <c r="G11" s="177"/>
      <c r="H11" s="312"/>
      <c r="I11" s="177"/>
      <c r="J11" s="312"/>
      <c r="K11" s="177"/>
      <c r="L11" s="312"/>
      <c r="M11" s="312"/>
      <c r="N11" s="312"/>
    </row>
    <row r="12" spans="1:23">
      <c r="A12" s="177"/>
      <c r="B12" s="312"/>
      <c r="C12" s="177"/>
      <c r="D12" s="312"/>
      <c r="E12" s="177"/>
      <c r="F12" s="312"/>
      <c r="G12" s="177"/>
      <c r="H12" s="312"/>
      <c r="I12" s="177"/>
      <c r="J12" s="312"/>
      <c r="K12" s="177"/>
      <c r="L12" s="312"/>
      <c r="M12" s="312"/>
      <c r="N12" s="312"/>
    </row>
  </sheetData>
  <pageMargins left="0.7" right="0.7" top="0.75" bottom="0.75" header="0.3" footer="0.3"/>
  <pageSetup paperSize="9" orientation="portrait" r:id="rId1"/>
  <ignoredErrors>
    <ignoredError sqref="D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E9DCA8AEB6064FBA1009A5919D0128" ma:contentTypeVersion="11" ma:contentTypeDescription="Create a new document." ma:contentTypeScope="" ma:versionID="9211d1df2e1da2c4da1199537f090155">
  <xsd:schema xmlns:xsd="http://www.w3.org/2001/XMLSchema" xmlns:xs="http://www.w3.org/2001/XMLSchema" xmlns:p="http://schemas.microsoft.com/office/2006/metadata/properties" xmlns:ns2="50d65d9c-ae30-4b48-b655-4e95a52be98e" xmlns:ns3="d9319686-8460-477c-a3da-d9a77963946b" targetNamespace="http://schemas.microsoft.com/office/2006/metadata/properties" ma:root="true" ma:fieldsID="6975a1b383b65af68c76a0eb556423b9" ns2:_="" ns3:_="">
    <xsd:import namespace="50d65d9c-ae30-4b48-b655-4e95a52be98e"/>
    <xsd:import namespace="d9319686-8460-477c-a3da-d9a7796394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d65d9c-ae30-4b48-b655-4e95a52be9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8dd3dd-18df-4dde-a300-66d8e4cb67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319686-8460-477c-a3da-d9a77963946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23445c-4bb8-403b-8ec4-595cc8e84097}" ma:internalName="TaxCatchAll" ma:showField="CatchAllData" ma:web="d9319686-8460-477c-a3da-d9a779639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d65d9c-ae30-4b48-b655-4e95a52be98e">
      <Terms xmlns="http://schemas.microsoft.com/office/infopath/2007/PartnerControls"/>
    </lcf76f155ced4ddcb4097134ff3c332f>
    <TaxCatchAll xmlns="d9319686-8460-477c-a3da-d9a77963946b" xsi:nil="true"/>
  </documentManagement>
</p:properties>
</file>

<file path=customXml/itemProps1.xml><?xml version="1.0" encoding="utf-8"?>
<ds:datastoreItem xmlns:ds="http://schemas.openxmlformats.org/officeDocument/2006/customXml" ds:itemID="{B392236E-9D85-4BC0-AB32-C4E783C0E01D}"/>
</file>

<file path=customXml/itemProps2.xml><?xml version="1.0" encoding="utf-8"?>
<ds:datastoreItem xmlns:ds="http://schemas.openxmlformats.org/officeDocument/2006/customXml" ds:itemID="{8DF5D3A5-E3CC-46CD-9934-C820674C3B39}"/>
</file>

<file path=customXml/itemProps3.xml><?xml version="1.0" encoding="utf-8"?>
<ds:datastoreItem xmlns:ds="http://schemas.openxmlformats.org/officeDocument/2006/customXml" ds:itemID="{CE29379E-69A8-4CAA-A506-D3C9EFAD8E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GRIPPAY-GONZALEZ Mario</dc:creator>
  <cp:keywords/>
  <dc:description/>
  <cp:lastModifiedBy>Aline MORESTIN</cp:lastModifiedBy>
  <cp:revision/>
  <dcterms:created xsi:type="dcterms:W3CDTF">2023-07-10T13:27:45Z</dcterms:created>
  <dcterms:modified xsi:type="dcterms:W3CDTF">2025-04-09T12:08:02Z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0x0101008EE9DCA8AEB6064FBA1009A5919D0128</vt:lpwstr>
  </property>
  <property fmtid="{D5CDD505-2E9C-101B-9397-08002B2CF9AE}" pid="3" name="TaxKeyword">
    <vt:lpwstr/>
  </property>
  <property fmtid="{D5CDD505-2E9C-101B-9397-08002B2CF9AE}" pid="4" name="WSDocumentType">
    <vt:lpwstr/>
  </property>
  <property fmtid="{D5CDD505-2E9C-101B-9397-08002B2CF9AE}" pid="5" name="MediaServiceImageTags">
    <vt:lpwstr/>
  </property>
</Properties>
</file>