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3.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61.xml" ContentType="application/vnd.openxmlformats-officedocument.spreadsheetml.table+xml"/>
  <Override PartName="/xl/drawings/drawing4.xml" ContentType="application/vnd.openxmlformats-officedocument.drawing+xml"/>
  <Override PartName="/xl/tables/table62.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Ex3.xml" ContentType="application/vnd.ms-office.chartex+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harts/chart2.xml" ContentType="application/vnd.openxmlformats-officedocument.drawingml.chart+xml"/>
  <Override PartName="/xl/charts/style5.xml" ContentType="application/vnd.ms-office.chartstyle+xml"/>
  <Override PartName="/xl/charts/colors5.xml" ContentType="application/vnd.ms-office.chartcolorstyle+xml"/>
  <Override PartName="/xl/charts/chart3.xml" ContentType="application/vnd.openxmlformats-officedocument.drawingml.chart+xml"/>
  <Override PartName="/xl/charts/style6.xml" ContentType="application/vnd.ms-office.chartstyle+xml"/>
  <Override PartName="/xl/charts/colors6.xml" ContentType="application/vnd.ms-office.chartcolorstyle+xml"/>
  <Override PartName="/xl/charts/chartEx4.xml" ContentType="application/vnd.ms-office.chartex+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digiplace.sharepoint.com/sites/WICCYBERSUSTAINABILITY/Documents partages/07 - Methodo v2/Final Calculator - FR/vAminata.O/"/>
    </mc:Choice>
  </mc:AlternateContent>
  <xr:revisionPtr revIDLastSave="5134" documentId="8_{4825FB88-3535-4FA5-AF86-0AAB1D75B5E1}" xr6:coauthVersionLast="47" xr6:coauthVersionMax="47" xr10:uidLastSave="{DBABB64D-07AF-460E-9E7D-F553DCE18B46}"/>
  <bookViews>
    <workbookView xWindow="-110" yWindow="-110" windowWidth="19420" windowHeight="11620" tabRatio="823" xr2:uid="{9957C4CC-C9BD-428F-9F2E-2F595D49C2B6}"/>
  </bookViews>
  <sheets>
    <sheet name="0.0 Présentation Méthodologie" sheetId="76" r:id="rId1"/>
    <sheet name="0.1 Référentiel" sheetId="97" r:id="rId2"/>
    <sheet name="0.2 LISEZ-MOI" sheetId="101" r:id="rId3"/>
    <sheet name="1.1 Localisation du personnel" sheetId="24" r:id="rId4"/>
    <sheet name="1.3 Dispositifs Cyber" sheetId="22" r:id="rId5"/>
    <sheet name="1.4 Réseau" sheetId="83" r:id="rId6"/>
    <sheet name="1.5 Serveurs de sauvegarde" sheetId="78" r:id="rId7"/>
    <sheet name="1.4 Infra des logiciels Cyber" sheetId="84" r:id="rId8"/>
    <sheet name="1.7 Services externes" sheetId="75" r:id="rId9"/>
    <sheet name="1.8 Voyages" sheetId="85" r:id="rId10"/>
    <sheet name="1.9 Équipements Non-cyber" sheetId="102" r:id="rId11"/>
    <sheet name="2.1 Cartographie dispositifs" sheetId="92" r:id="rId12"/>
    <sheet name="2.2 Cartographie réseau" sheetId="94" r:id="rId13"/>
    <sheet name="2.3 Carto serveurs sauvegarde" sheetId="87" r:id="rId14"/>
    <sheet name="2.4 Carto Infra logiciels Cyber" sheetId="67" r:id="rId15"/>
    <sheet name="2.5 Carto services externes" sheetId="72" r:id="rId16"/>
    <sheet name="2.6 Cartographie voyages" sheetId="90" r:id="rId17"/>
    <sheet name="2.7 Carto équipements Non Cyber" sheetId="103" r:id="rId18"/>
    <sheet name="3.1 Mix électrique" sheetId="13" r:id="rId19"/>
    <sheet name="3.2 Facteurs d'émission" sheetId="71" r:id="rId20"/>
    <sheet name="3.3 Hypothèses" sheetId="41" r:id="rId21"/>
    <sheet name="4.1 Tableau de bord NIST" sheetId="32" r:id="rId22"/>
    <sheet name="4.2 Tableau de bord Sujets" sheetId="98" r:id="rId23"/>
    <sheet name="4.3 Tableau de bord Catégories" sheetId="100" r:id="rId24"/>
    <sheet name="5.1 Plan d'action" sheetId="53" r:id="rId25"/>
  </sheets>
  <externalReferences>
    <externalReference r:id="rId26"/>
  </externalReferences>
  <definedNames>
    <definedName name="_xlnm._FilterDatabase" localSheetId="4" hidden="1">'1.3 Dispositifs Cyber'!$B$14:$D$17</definedName>
    <definedName name="_xlnm._FilterDatabase" localSheetId="5" hidden="1">'1.4 Réseau'!$B$14:$E$17</definedName>
    <definedName name="_xlnm._FilterDatabase" localSheetId="11" hidden="1">'2.1 Cartographie dispositifs'!$B$33:$D$36</definedName>
    <definedName name="_xlnm._FilterDatabase" localSheetId="12" hidden="1">'2.2 Cartographie réseau'!$B$33:$D$36</definedName>
    <definedName name="_xlnm._FilterDatabase" localSheetId="17" hidden="1">'2.7 Carto équipements Non Cyber'!$B$33:$D$38</definedName>
    <definedName name="_xlnm._FilterDatabase" localSheetId="21" hidden="1">'4.1 Tableau de bord NIST'!$B$20:$E$90</definedName>
    <definedName name="_xlchart.v1.0" hidden="1">'4.1 Tableau de bord NIST'!$A$21:$B$90</definedName>
    <definedName name="_xlchart.v1.1" hidden="1">'4.1 Tableau de bord NIST'!$D$20</definedName>
    <definedName name="_xlchart.v1.10" hidden="1">'4.3 Tableau de bord Catégories'!$C$22</definedName>
    <definedName name="_xlchart.v1.11" hidden="1">'4.3 Tableau de bord Catégories'!$C$23:$C$42</definedName>
    <definedName name="_xlchart.v1.2" hidden="1">'4.1 Tableau de bord NIST'!$D$21:$D$90</definedName>
    <definedName name="_xlchart.v1.3" hidden="1">'4.2 Tableau de bord Sujets'!$A$43:$B$140</definedName>
    <definedName name="_xlchart.v1.4" hidden="1">'4.2 Tableau de bord Sujets'!$C$42</definedName>
    <definedName name="_xlchart.v1.5" hidden="1">'4.2 Tableau de bord Sujets'!$C$43:$C$140</definedName>
    <definedName name="_xlchart.v1.6" hidden="1">'4.2 Tableau de bord Sujets'!$A$144:$B$241</definedName>
    <definedName name="_xlchart.v1.7" hidden="1">'4.2 Tableau de bord Sujets'!$C$143</definedName>
    <definedName name="_xlchart.v1.8" hidden="1">'4.2 Tableau de bord Sujets'!$C$144:$C$241</definedName>
    <definedName name="_xlchart.v1.9" hidden="1">'4.3 Tableau de bord Catégories'!$A$23:$B$42</definedName>
    <definedName name="AppDesc" localSheetId="2">#REF!</definedName>
    <definedName name="AppDesc" localSheetId="7">#REF!</definedName>
    <definedName name="AppDesc" localSheetId="6">#REF!</definedName>
    <definedName name="AppDesc" localSheetId="10">#REF!</definedName>
    <definedName name="CI_Cyber_Staff">'1.1 Localisation du personnel'!$D$13</definedName>
    <definedName name="CI_Group_Staff" localSheetId="2">'[1]1.1 Staff Location'!#REF!</definedName>
    <definedName name="CI_ITG_Servers" localSheetId="2">#REF!</definedName>
    <definedName name="CI_ITG_Servers" localSheetId="7">#REF!</definedName>
    <definedName name="CI_ITG_Servers" localSheetId="6">#REF!</definedName>
    <definedName name="CI_ITG_Servers" localSheetId="10">#REF!</definedName>
    <definedName name="CI_Servers_Cyber" localSheetId="2">#REF!</definedName>
    <definedName name="CI_Servers_Cyber">#REF!</definedName>
    <definedName name="CI_Servers_Resilience" localSheetId="2">#REF!</definedName>
    <definedName name="CI_Servers_Resilience">#REF!</definedName>
    <definedName name="Countries" localSheetId="2">#REF!</definedName>
    <definedName name="Countries" localSheetId="7">#REF!</definedName>
    <definedName name="Countries" localSheetId="6">#REF!</definedName>
    <definedName name="Countries" localSheetId="10">#REF!</definedName>
    <definedName name="DC_PUE" localSheetId="2">'[1]1.3 Devices'!#REF!</definedName>
    <definedName name="DC_PUE" localSheetId="7">#REF!</definedName>
    <definedName name="DC_PUE" localSheetId="5">'1.4 Réseau'!#REF!</definedName>
    <definedName name="DC_PUE" localSheetId="6">#REF!</definedName>
    <definedName name="DC_PUE" localSheetId="10">#REF!</definedName>
    <definedName name="DC_PUE" localSheetId="11">'2.1 Cartographie dispositifs'!#REF!</definedName>
    <definedName name="DC_PUE" localSheetId="12">'2.2 Cartographie réseau'!#REF!</definedName>
    <definedName name="DC_PUE" localSheetId="17">'2.7 Carto équipements Non Cyber'!#REF!</definedName>
    <definedName name="DC_Servers_Lifetime" localSheetId="2">'[1]1.3 Devices'!#REF!</definedName>
    <definedName name="DC_Servers_Lifetime" localSheetId="7">#REF!</definedName>
    <definedName name="DC_Servers_Lifetime" localSheetId="5">'1.4 Réseau'!#REF!</definedName>
    <definedName name="DC_Servers_Lifetime" localSheetId="6">#REF!</definedName>
    <definedName name="DC_Servers_Lifetime" localSheetId="10">#REF!</definedName>
    <definedName name="DC_Servers_Lifetime" localSheetId="11">'2.1 Cartographie dispositifs'!#REF!</definedName>
    <definedName name="DC_Servers_Lifetime" localSheetId="12">'2.2 Cartographie réseau'!#REF!</definedName>
    <definedName name="DC_Servers_Lifetime" localSheetId="17">'2.7 Carto équipements Non Cyber'!#REF!</definedName>
    <definedName name="EF_ITG_Servers" localSheetId="2">#REF!</definedName>
    <definedName name="EF_ITG_Servers" localSheetId="7">#REF!</definedName>
    <definedName name="EF_ITG_Servers" localSheetId="6">#REF!</definedName>
    <definedName name="EF_ITG_Servers" localSheetId="10">#REF!</definedName>
    <definedName name="EF_Servers" localSheetId="2">#REF!</definedName>
    <definedName name="EF_Servers" localSheetId="7">#REF!</definedName>
    <definedName name="EF_Servers" localSheetId="6">#REF!</definedName>
    <definedName name="EF_Servers" localSheetId="10">#REF!</definedName>
    <definedName name="Fabrication_GES_Ecrans" localSheetId="2">#REF!</definedName>
    <definedName name="Fabrication_GES_Ecrans" localSheetId="7">#REF!</definedName>
    <definedName name="Fabrication_GES_Ecrans" localSheetId="6">#REF!</definedName>
    <definedName name="Fabrication_GES_Ecrans" localSheetId="10">#REF!</definedName>
    <definedName name="Fabrication_GES_Firewall" localSheetId="2">#REF!</definedName>
    <definedName name="Fabrication_GES_Firewall" localSheetId="7">#REF!</definedName>
    <definedName name="Fabrication_GES_Firewall" localSheetId="6">#REF!</definedName>
    <definedName name="Fabrication_GES_Firewall" localSheetId="10">#REF!</definedName>
    <definedName name="Fabrication_GES_Firewall_V2" localSheetId="2">#REF!</definedName>
    <definedName name="Fabrication_GES_Firewall_V2" localSheetId="7">#REF!</definedName>
    <definedName name="Fabrication_GES_Firewall_V2" localSheetId="6">#REF!</definedName>
    <definedName name="Fabrication_GES_Firewall_V2" localSheetId="10">#REF!</definedName>
    <definedName name="Fabrication_GES_GES_Serveurs_Boavizta" localSheetId="2">#REF!</definedName>
    <definedName name="Fabrication_GES_GES_Serveurs_Boavizta" localSheetId="7">#REF!</definedName>
    <definedName name="Fabrication_GES_GES_Serveurs_Boavizta" localSheetId="6">#REF!</definedName>
    <definedName name="Fabrication_GES_GES_Serveurs_Boavizta" localSheetId="10">#REF!</definedName>
    <definedName name="Fabrication_GES_Imprimantes" localSheetId="2">#REF!</definedName>
    <definedName name="Fabrication_GES_Imprimantes" localSheetId="7">#REF!</definedName>
    <definedName name="Fabrication_GES_Imprimantes" localSheetId="6">#REF!</definedName>
    <definedName name="Fabrication_GES_Imprimantes" localSheetId="10">#REF!</definedName>
    <definedName name="Fabrication_GES_Laptop" localSheetId="2">#REF!</definedName>
    <definedName name="Fabrication_GES_Laptop" localSheetId="7">#REF!</definedName>
    <definedName name="Fabrication_GES_Laptop" localSheetId="6">#REF!</definedName>
    <definedName name="Fabrication_GES_Laptop" localSheetId="10">#REF!</definedName>
    <definedName name="Fabrication_GES_PC" localSheetId="2">#REF!</definedName>
    <definedName name="Fabrication_GES_PC" localSheetId="7">#REF!</definedName>
    <definedName name="Fabrication_GES_PC" localSheetId="6">#REF!</definedName>
    <definedName name="Fabrication_GES_PC" localSheetId="10">#REF!</definedName>
    <definedName name="Fabrication_GES_Projection" localSheetId="2">#REF!</definedName>
    <definedName name="Fabrication_GES_Projection" localSheetId="7">#REF!</definedName>
    <definedName name="Fabrication_GES_Projection" localSheetId="6">#REF!</definedName>
    <definedName name="Fabrication_GES_Projection" localSheetId="10">#REF!</definedName>
    <definedName name="Fabrication_GES_Routeurs" localSheetId="2">#REF!</definedName>
    <definedName name="Fabrication_GES_Routeurs" localSheetId="7">#REF!</definedName>
    <definedName name="Fabrication_GES_Routeurs" localSheetId="6">#REF!</definedName>
    <definedName name="Fabrication_GES_Routeurs" localSheetId="10">#REF!</definedName>
    <definedName name="Fabrication_GES_Routeurs_V2" localSheetId="2">#REF!</definedName>
    <definedName name="Fabrication_GES_Routeurs_V2" localSheetId="7">#REF!</definedName>
    <definedName name="Fabrication_GES_Routeurs_V2" localSheetId="6">#REF!</definedName>
    <definedName name="Fabrication_GES_Routeurs_V2" localSheetId="10">#REF!</definedName>
    <definedName name="Fabrication_GES_Serveurs" localSheetId="2">#REF!</definedName>
    <definedName name="Fabrication_GES_Serveurs" localSheetId="7">#REF!</definedName>
    <definedName name="Fabrication_GES_Serveurs" localSheetId="6">#REF!</definedName>
    <definedName name="Fabrication_GES_Serveurs" localSheetId="10">#REF!</definedName>
    <definedName name="Fabrication_GES_Switchs" localSheetId="2">#REF!</definedName>
    <definedName name="Fabrication_GES_Switchs" localSheetId="7">#REF!</definedName>
    <definedName name="Fabrication_GES_Switchs" localSheetId="6">#REF!</definedName>
    <definedName name="Fabrication_GES_Switchs" localSheetId="10">#REF!</definedName>
    <definedName name="Fabrication_GES_Switchs_V2" localSheetId="2">#REF!</definedName>
    <definedName name="Fabrication_GES_Switchs_V2" localSheetId="7">#REF!</definedName>
    <definedName name="Fabrication_GES_Switchs_V2" localSheetId="6">#REF!</definedName>
    <definedName name="Fabrication_GES_Switchs_V2" localSheetId="10">#REF!</definedName>
    <definedName name="Fabrication_GES_Tablettes" localSheetId="2">#REF!</definedName>
    <definedName name="Fabrication_GES_Tablettes" localSheetId="7">#REF!</definedName>
    <definedName name="Fabrication_GES_Tablettes" localSheetId="6">#REF!</definedName>
    <definedName name="Fabrication_GES_Tablettes" localSheetId="10">#REF!</definedName>
    <definedName name="Fabrication_GES_Téléphones_fixes" localSheetId="2">#REF!</definedName>
    <definedName name="Fabrication_GES_Téléphones_fixes" localSheetId="7">#REF!</definedName>
    <definedName name="Fabrication_GES_Téléphones_fixes" localSheetId="6">#REF!</definedName>
    <definedName name="Fabrication_GES_Téléphones_fixes" localSheetId="10">#REF!</definedName>
    <definedName name="Fabrication_GES_Téléphonie" localSheetId="2">#REF!</definedName>
    <definedName name="Fabrication_GES_Téléphonie" localSheetId="7">#REF!</definedName>
    <definedName name="Fabrication_GES_Téléphonie" localSheetId="6">#REF!</definedName>
    <definedName name="Fabrication_GES_Téléphonie" localSheetId="10">#REF!</definedName>
    <definedName name="Fabrication_GES_Televiseurs" localSheetId="2">#REF!</definedName>
    <definedName name="Fabrication_GES_Televiseurs" localSheetId="7">#REF!</definedName>
    <definedName name="Fabrication_GES_Televiseurs" localSheetId="6">#REF!</definedName>
    <definedName name="Fabrication_GES_Televiseurs" localSheetId="10">#REF!</definedName>
    <definedName name="Fabrication_GES_Visioconférence" localSheetId="2">#REF!</definedName>
    <definedName name="Fabrication_GES_Visioconférence" localSheetId="7">#REF!</definedName>
    <definedName name="Fabrication_GES_Visioconférence" localSheetId="6">#REF!</definedName>
    <definedName name="Fabrication_GES_Visioconférence" localSheetId="10">#REF!</definedName>
    <definedName name="Fabrication_GES_Wifi" localSheetId="2">#REF!</definedName>
    <definedName name="Fabrication_GES_Wifi" localSheetId="7">#REF!</definedName>
    <definedName name="Fabrication_GES_Wifi" localSheetId="6">#REF!</definedName>
    <definedName name="Fabrication_GES_Wifi" localSheetId="10">#REF!</definedName>
    <definedName name="Fabrication_GES_Wifi_V2" localSheetId="2">#REF!</definedName>
    <definedName name="Fabrication_GES_Wifi_V2" localSheetId="7">#REF!</definedName>
    <definedName name="Fabrication_GES_Wifi_V2" localSheetId="6">#REF!</definedName>
    <definedName name="Fabrication_GES_Wifi_V2" localSheetId="10">#REF!</definedName>
    <definedName name="FE_Data_Center" localSheetId="2">#REF!</definedName>
    <definedName name="FE_Data_Center" localSheetId="7">#REF!</definedName>
    <definedName name="FE_Data_Center" localSheetId="6">#REF!</definedName>
    <definedName name="FE_Data_Center" localSheetId="10">#REF!</definedName>
    <definedName name="FE_Data_Center" localSheetId="19">'3.2 Facteurs d''émission'!$C$46:$C$48</definedName>
    <definedName name="FE_Ecrans_bureautiques" localSheetId="2">#REF!</definedName>
    <definedName name="FE_Ecrans_bureautiques" localSheetId="7">#REF!</definedName>
    <definedName name="FE_Ecrans_bureautiques" localSheetId="6">#REF!</definedName>
    <definedName name="FE_Ecrans_bureautiques" localSheetId="10">#REF!</definedName>
    <definedName name="FE_Ecrans_bureautiques" localSheetId="18">#REF!</definedName>
    <definedName name="FE_Ecrans_bureautiques" localSheetId="19">'3.2 Facteurs d''émission'!$C$34:$C$34</definedName>
    <definedName name="FE_Firewalls" localSheetId="2">#REF!</definedName>
    <definedName name="FE_Firewalls" localSheetId="7">#REF!</definedName>
    <definedName name="FE_Firewalls" localSheetId="6">#REF!</definedName>
    <definedName name="FE_Firewalls" localSheetId="10">#REF!</definedName>
    <definedName name="FE_Firewalls" localSheetId="18">#REF!</definedName>
    <definedName name="FE_Firewalls" localSheetId="19">'3.2 Facteurs d''émission'!$C$74</definedName>
    <definedName name="FE_Imprimantes" localSheetId="2">#REF!</definedName>
    <definedName name="FE_Imprimantes" localSheetId="7">#REF!</definedName>
    <definedName name="FE_Imprimantes" localSheetId="6">#REF!</definedName>
    <definedName name="FE_Imprimantes" localSheetId="10">#REF!</definedName>
    <definedName name="FE_Imprimantes" localSheetId="18">#REF!</definedName>
    <definedName name="FE_Imprimantes" localSheetId="19">#REF!</definedName>
    <definedName name="FE_Ordinateurs_fixes" localSheetId="2">#REF!</definedName>
    <definedName name="FE_Ordinateurs_fixes" localSheetId="7">#REF!</definedName>
    <definedName name="FE_Ordinateurs_fixes" localSheetId="6">#REF!</definedName>
    <definedName name="FE_Ordinateurs_fixes" localSheetId="10">#REF!</definedName>
    <definedName name="FE_Ordinateurs_fixes" localSheetId="19">'3.2 Facteurs d''émission'!#REF!</definedName>
    <definedName name="FE_Ordinateurs_portables" localSheetId="2">#REF!</definedName>
    <definedName name="FE_Ordinateurs_portables" localSheetId="7">#REF!</definedName>
    <definedName name="FE_Ordinateurs_portables" localSheetId="6">#REF!</definedName>
    <definedName name="FE_Ordinateurs_portables" localSheetId="10">#REF!</definedName>
    <definedName name="FE_Ordinateurs_portables" localSheetId="19">'3.2 Facteurs d''émission'!$C$8:$C$10</definedName>
    <definedName name="FE_Projection" localSheetId="2">#REF!</definedName>
    <definedName name="FE_Projection" localSheetId="7">#REF!</definedName>
    <definedName name="FE_Projection" localSheetId="6">#REF!</definedName>
    <definedName name="FE_Projection" localSheetId="10">#REF!</definedName>
    <definedName name="FE_Projection" localSheetId="19">'3.2 Facteurs d''émission'!#REF!</definedName>
    <definedName name="FE_Ratios_monétaires" localSheetId="2">#REF!</definedName>
    <definedName name="FE_Ratios_monétaires" localSheetId="7">#REF!</definedName>
    <definedName name="FE_Ratios_monétaires" localSheetId="6">#REF!</definedName>
    <definedName name="FE_Ratios_monétaires" localSheetId="10">#REF!</definedName>
    <definedName name="FE_Ratios_monétaires" localSheetId="19">#REF!</definedName>
    <definedName name="FE_Réseau" localSheetId="2">#REF!</definedName>
    <definedName name="FE_Réseau" localSheetId="7">#REF!</definedName>
    <definedName name="FE_Réseau" localSheetId="6">#REF!</definedName>
    <definedName name="FE_Réseau" localSheetId="10">#REF!</definedName>
    <definedName name="FE_Réseau" localSheetId="19">'3.2 Facteurs d''émission'!$C$74:$C$75</definedName>
    <definedName name="FE_Routeurs" localSheetId="2">#REF!</definedName>
    <definedName name="FE_Routeurs" localSheetId="7">#REF!</definedName>
    <definedName name="FE_Routeurs" localSheetId="6">#REF!</definedName>
    <definedName name="FE_Routeurs" localSheetId="10">#REF!</definedName>
    <definedName name="FE_Routeurs" localSheetId="18">#REF!</definedName>
    <definedName name="FE_Routeurs" localSheetId="19">'3.2 Facteurs d''émission'!#REF!</definedName>
    <definedName name="FE_Serveurs" localSheetId="2">#REF!</definedName>
    <definedName name="FE_Serveurs" localSheetId="7">#REF!</definedName>
    <definedName name="FE_Serveurs" localSheetId="6">#REF!</definedName>
    <definedName name="FE_Serveurs" localSheetId="10">#REF!</definedName>
    <definedName name="FE_Serveurs" localSheetId="18">#REF!</definedName>
    <definedName name="FE_Serveurs" localSheetId="19">'3.2 Facteurs d''émission'!$C$46:$C$48</definedName>
    <definedName name="FE_Switchs" localSheetId="2">#REF!</definedName>
    <definedName name="FE_Switchs" localSheetId="7">#REF!</definedName>
    <definedName name="FE_Switchs" localSheetId="6">#REF!</definedName>
    <definedName name="FE_Switchs" localSheetId="10">#REF!</definedName>
    <definedName name="FE_Switchs" localSheetId="19">'3.2 Facteurs d''émission'!#REF!</definedName>
    <definedName name="FE_Tablettes" localSheetId="2">#REF!</definedName>
    <definedName name="FE_Tablettes" localSheetId="7">#REF!</definedName>
    <definedName name="FE_Tablettes" localSheetId="6">#REF!</definedName>
    <definedName name="FE_Tablettes" localSheetId="10">#REF!</definedName>
    <definedName name="FE_Tablettes" localSheetId="19">'3.2 Facteurs d''émission'!$C$22:$C$22</definedName>
    <definedName name="FE_Téléphones" localSheetId="2">#REF!</definedName>
    <definedName name="FE_Téléphones" localSheetId="7">#REF!</definedName>
    <definedName name="FE_Téléphones" localSheetId="6">#REF!</definedName>
    <definedName name="FE_Téléphones" localSheetId="10">#REF!</definedName>
    <definedName name="FE_Téléphones" localSheetId="19">'3.2 Facteurs d''émission'!$C$27:$C$28</definedName>
    <definedName name="FE_Wifi" localSheetId="2">#REF!</definedName>
    <definedName name="FE_Wifi" localSheetId="7">#REF!</definedName>
    <definedName name="FE_Wifi" localSheetId="6">#REF!</definedName>
    <definedName name="FE_Wifi" localSheetId="10">#REF!</definedName>
    <definedName name="FE_Wifi" localSheetId="18">#REF!</definedName>
    <definedName name="FE_Wifi" localSheetId="19">'3.2 Facteurs d''émission'!$C$75</definedName>
    <definedName name="Intensité_Carbone_Personnel_Cyber" localSheetId="2">'[1]1.1 Staff Location'!#REF!</definedName>
    <definedName name="Intensité_Carbone_Personnel_du_groupe">'1.1 Localisation du personnel'!$D$12</definedName>
    <definedName name="Mapping_Apps_Controls" localSheetId="15">'2.5 Carto services externes'!$B:$C</definedName>
    <definedName name="Mapping_Apps_Controls">'2.4 Carto Infra logiciels Cyber'!$B:$B</definedName>
    <definedName name="Modélisation_Ecrans_Amont" localSheetId="2">#REF!</definedName>
    <definedName name="Modélisation_Ecrans_Amont" localSheetId="7">#REF!</definedName>
    <definedName name="Modélisation_Ecrans_Amont" localSheetId="6">#REF!</definedName>
    <definedName name="Modélisation_Ecrans_Amont" localSheetId="10">#REF!</definedName>
    <definedName name="Modélisation_Ecrans_Amont" localSheetId="18">#REF!</definedName>
    <definedName name="Modélisation_Ecrans_Amont" localSheetId="19">#REF!</definedName>
    <definedName name="Modélisation_Ecrans_Lifetime" localSheetId="2">#REF!</definedName>
    <definedName name="Modélisation_Ecrans_Lifetime" localSheetId="7">#REF!</definedName>
    <definedName name="Modélisation_Ecrans_Lifetime" localSheetId="6">#REF!</definedName>
    <definedName name="Modélisation_Ecrans_Lifetime" localSheetId="10">#REF!</definedName>
    <definedName name="Modélisation_Ecrans_TEC" localSheetId="2">#REF!</definedName>
    <definedName name="Modélisation_Ecrans_TEC" localSheetId="7">#REF!</definedName>
    <definedName name="Modélisation_Ecrans_TEC" localSheetId="6">#REF!</definedName>
    <definedName name="Modélisation_Ecrans_TEC" localSheetId="10">#REF!</definedName>
    <definedName name="Modélisation_Ecrans_TEC" localSheetId="18">#REF!</definedName>
    <definedName name="Modélisation_Ecrans_TEC" localSheetId="19">#REF!</definedName>
    <definedName name="Modélisation_Laptop_Amont" localSheetId="2">#REF!</definedName>
    <definedName name="Modélisation_Laptop_Amont" localSheetId="7">#REF!</definedName>
    <definedName name="Modélisation_Laptop_Amont" localSheetId="6">#REF!</definedName>
    <definedName name="Modélisation_Laptop_Amont" localSheetId="10">#REF!</definedName>
    <definedName name="Modélisation_Laptop_Amont" localSheetId="18">#REF!</definedName>
    <definedName name="Modélisation_Laptop_Amont" localSheetId="19">#REF!</definedName>
    <definedName name="Modélisation_Laptop_Lifetime" localSheetId="2">#REF!</definedName>
    <definedName name="Modélisation_Laptop_Lifetime" localSheetId="7">#REF!</definedName>
    <definedName name="Modélisation_Laptop_Lifetime" localSheetId="6">#REF!</definedName>
    <definedName name="Modélisation_Laptop_Lifetime" localSheetId="10">#REF!</definedName>
    <definedName name="Modélisation_Laptop_TEC" localSheetId="2">#REF!</definedName>
    <definedName name="Modélisation_Laptop_TEC" localSheetId="7">#REF!</definedName>
    <definedName name="Modélisation_Laptop_TEC" localSheetId="6">#REF!</definedName>
    <definedName name="Modélisation_Laptop_TEC" localSheetId="10">#REF!</definedName>
    <definedName name="Modélisation_Laptop_TEC" localSheetId="18">#REF!</definedName>
    <definedName name="Modélisation_Laptop_TEC" localSheetId="19">#REF!</definedName>
    <definedName name="Modélisation_PC_Amont" localSheetId="2">#REF!</definedName>
    <definedName name="Modélisation_PC_Amont" localSheetId="7">#REF!</definedName>
    <definedName name="Modélisation_PC_Amont" localSheetId="6">#REF!</definedName>
    <definedName name="Modélisation_PC_Amont" localSheetId="10">#REF!</definedName>
    <definedName name="Modélisation_PC_Amont" localSheetId="18">#REF!</definedName>
    <definedName name="Modélisation_PC_Amont" localSheetId="19">#REF!</definedName>
    <definedName name="Modélisation_PC_Lifetime" localSheetId="2">#REF!</definedName>
    <definedName name="Modélisation_PC_Lifetime" localSheetId="7">#REF!</definedName>
    <definedName name="Modélisation_PC_Lifetime" localSheetId="6">#REF!</definedName>
    <definedName name="Modélisation_PC_Lifetime" localSheetId="10">#REF!</definedName>
    <definedName name="Modélisation_PC_TEC" localSheetId="2">#REF!</definedName>
    <definedName name="Modélisation_PC_TEC" localSheetId="7">#REF!</definedName>
    <definedName name="Modélisation_PC_TEC" localSheetId="6">#REF!</definedName>
    <definedName name="Modélisation_PC_TEC" localSheetId="10">#REF!</definedName>
    <definedName name="Modélisation_PC_TEC" localSheetId="18">#REF!</definedName>
    <definedName name="Modélisation_PC_TEC" localSheetId="19">#REF!</definedName>
    <definedName name="Modélisation_Print_Multifonctions_Amont" localSheetId="2">#REF!</definedName>
    <definedName name="Modélisation_Print_Multifonctions_Amont" localSheetId="7">#REF!</definedName>
    <definedName name="Modélisation_Print_Multifonctions_Amont" localSheetId="6">#REF!</definedName>
    <definedName name="Modélisation_Print_Multifonctions_Amont" localSheetId="10">#REF!</definedName>
    <definedName name="Modélisation_Print_Multifonctions_Amont" localSheetId="18">#REF!</definedName>
    <definedName name="Modélisation_Print_Multifonctions_Amont" localSheetId="19">#REF!</definedName>
    <definedName name="Modélisation_Print_Multifonctions_Lifetime" localSheetId="2">#REF!</definedName>
    <definedName name="Modélisation_Print_Multifonctions_Lifetime" localSheetId="7">#REF!</definedName>
    <definedName name="Modélisation_Print_Multifonctions_Lifetime" localSheetId="6">#REF!</definedName>
    <definedName name="Modélisation_Print_Multifonctions_Lifetime" localSheetId="10">#REF!</definedName>
    <definedName name="Modélisation_Print_Multifonctions_TEC" localSheetId="2">#REF!</definedName>
    <definedName name="Modélisation_Print_Multifonctions_TEC" localSheetId="7">#REF!</definedName>
    <definedName name="Modélisation_Print_Multifonctions_TEC" localSheetId="6">#REF!</definedName>
    <definedName name="Modélisation_Print_Multifonctions_TEC" localSheetId="10">#REF!</definedName>
    <definedName name="Modélisation_Print_Multifonctions_TEC" localSheetId="18">#REF!</definedName>
    <definedName name="Modélisation_Print_Multifonctions_TEC" localSheetId="19">#REF!</definedName>
    <definedName name="Modélisation_Routeur_Amont" localSheetId="2">#REF!</definedName>
    <definedName name="Modélisation_Routeur_Amont" localSheetId="7">#REF!</definedName>
    <definedName name="Modélisation_Routeur_Amont" localSheetId="6">#REF!</definedName>
    <definedName name="Modélisation_Routeur_Amont" localSheetId="10">#REF!</definedName>
    <definedName name="Modélisation_Routeur_Amont" localSheetId="18">#REF!</definedName>
    <definedName name="Modélisation_Routeur_Amont" localSheetId="19">#REF!</definedName>
    <definedName name="Modélisation_Routeur_Lifetime" localSheetId="2">#REF!</definedName>
    <definedName name="Modélisation_Routeur_Lifetime" localSheetId="7">#REF!</definedName>
    <definedName name="Modélisation_Routeur_Lifetime" localSheetId="6">#REF!</definedName>
    <definedName name="Modélisation_Routeur_Lifetime" localSheetId="10">#REF!</definedName>
    <definedName name="Modélisation_Routeur_TEC" localSheetId="2">#REF!</definedName>
    <definedName name="Modélisation_Routeur_TEC" localSheetId="7">#REF!</definedName>
    <definedName name="Modélisation_Routeur_TEC" localSheetId="6">#REF!</definedName>
    <definedName name="Modélisation_Routeur_TEC" localSheetId="10">#REF!</definedName>
    <definedName name="Modélisation_Routeur_TEC" localSheetId="18">#REF!</definedName>
    <definedName name="Modélisation_Routeur_TEC" localSheetId="19">#REF!</definedName>
    <definedName name="Modélisation_Serveur_Amont_CPU" localSheetId="2">#REF!</definedName>
    <definedName name="Modélisation_Serveur_Amont_CPU" localSheetId="7">#REF!</definedName>
    <definedName name="Modélisation_Serveur_Amont_CPU" localSheetId="6">#REF!</definedName>
    <definedName name="Modélisation_Serveur_Amont_CPU" localSheetId="10">#REF!</definedName>
    <definedName name="Modélisation_Serveur_Amont_CPU" localSheetId="18">#REF!</definedName>
    <definedName name="Modélisation_Serveur_Amont_CPU" localSheetId="19">#REF!</definedName>
    <definedName name="Modélisation_Serveur_Amont_Fixe" localSheetId="2">#REF!</definedName>
    <definedName name="Modélisation_Serveur_Amont_Fixe" localSheetId="7">#REF!</definedName>
    <definedName name="Modélisation_Serveur_Amont_Fixe" localSheetId="6">#REF!</definedName>
    <definedName name="Modélisation_Serveur_Amont_Fixe" localSheetId="10">#REF!</definedName>
    <definedName name="Modélisation_Serveur_Amont_Fixe" localSheetId="18">#REF!</definedName>
    <definedName name="Modélisation_Serveur_Amont_Fixe" localSheetId="19">#REF!</definedName>
    <definedName name="Modélisation_Serveur_Amont_RAM" localSheetId="2">#REF!</definedName>
    <definedName name="Modélisation_Serveur_Amont_RAM" localSheetId="7">#REF!</definedName>
    <definedName name="Modélisation_Serveur_Amont_RAM" localSheetId="6">#REF!</definedName>
    <definedName name="Modélisation_Serveur_Amont_RAM" localSheetId="10">#REF!</definedName>
    <definedName name="Modélisation_Serveur_Amont_RAM" localSheetId="18">#REF!</definedName>
    <definedName name="Modélisation_Serveur_Amont_RAM" localSheetId="19">#REF!</definedName>
    <definedName name="Modélisation_Serveur_Lifetime" localSheetId="2">#REF!</definedName>
    <definedName name="Modélisation_Serveur_Lifetime" localSheetId="7">#REF!</definedName>
    <definedName name="Modélisation_Serveur_Lifetime" localSheetId="6">#REF!</definedName>
    <definedName name="Modélisation_Serveur_Lifetime" localSheetId="10">#REF!</definedName>
    <definedName name="Modélisation_Serveur_TEC" localSheetId="2">#REF!</definedName>
    <definedName name="Modélisation_Serveur_TEC" localSheetId="7">#REF!</definedName>
    <definedName name="Modélisation_Serveur_TEC" localSheetId="6">#REF!</definedName>
    <definedName name="Modélisation_Serveur_TEC" localSheetId="10">#REF!</definedName>
    <definedName name="Modélisation_Serveur_TEC" localSheetId="18">#REF!</definedName>
    <definedName name="Modélisation_Serveur_TEC" localSheetId="19">#REF!</definedName>
    <definedName name="Modélisation_Smartphones_Amont" localSheetId="2">#REF!</definedName>
    <definedName name="Modélisation_Smartphones_Amont" localSheetId="7">#REF!</definedName>
    <definedName name="Modélisation_Smartphones_Amont" localSheetId="6">#REF!</definedName>
    <definedName name="Modélisation_Smartphones_Amont" localSheetId="10">#REF!</definedName>
    <definedName name="Modélisation_Smartphones_Amont" localSheetId="18">#REF!</definedName>
    <definedName name="Modélisation_Smartphones_Amont" localSheetId="19">#REF!</definedName>
    <definedName name="Modélisation_Smartphones_Lifetime" localSheetId="2">#REF!</definedName>
    <definedName name="Modélisation_Smartphones_Lifetime" localSheetId="7">#REF!</definedName>
    <definedName name="Modélisation_Smartphones_Lifetime" localSheetId="6">#REF!</definedName>
    <definedName name="Modélisation_Smartphones_Lifetime" localSheetId="10">#REF!</definedName>
    <definedName name="Modélisation_Smartphones_TEC" localSheetId="2">#REF!</definedName>
    <definedName name="Modélisation_Smartphones_TEC" localSheetId="7">#REF!</definedName>
    <definedName name="Modélisation_Smartphones_TEC" localSheetId="6">#REF!</definedName>
    <definedName name="Modélisation_Smartphones_TEC" localSheetId="10">#REF!</definedName>
    <definedName name="Modélisation_Smartphones_TEC" localSheetId="18">#REF!</definedName>
    <definedName name="Modélisation_Smartphones_TEC" localSheetId="19">#REF!</definedName>
    <definedName name="Modélisation_Switch_Grand_Amont" localSheetId="2">#REF!</definedName>
    <definedName name="Modélisation_Switch_Grand_Amont" localSheetId="7">#REF!</definedName>
    <definedName name="Modélisation_Switch_Grand_Amont" localSheetId="6">#REF!</definedName>
    <definedName name="Modélisation_Switch_Grand_Amont" localSheetId="10">#REF!</definedName>
    <definedName name="Modélisation_Switch_Grand_Amont" localSheetId="18">#REF!</definedName>
    <definedName name="Modélisation_Switch_Grand_Amont" localSheetId="19">#REF!</definedName>
    <definedName name="Modélisation_Switch_Grand_Aval" localSheetId="2">#REF!</definedName>
    <definedName name="Modélisation_Switch_Grand_Aval" localSheetId="7">#REF!</definedName>
    <definedName name="Modélisation_Switch_Grand_Aval" localSheetId="6">#REF!</definedName>
    <definedName name="Modélisation_Switch_Grand_Aval" localSheetId="10">#REF!</definedName>
    <definedName name="Modélisation_Switch_Grand_Lifetime" localSheetId="2">#REF!</definedName>
    <definedName name="Modélisation_Switch_Grand_Lifetime" localSheetId="7">#REF!</definedName>
    <definedName name="Modélisation_Switch_Grand_Lifetime" localSheetId="6">#REF!</definedName>
    <definedName name="Modélisation_Switch_Grand_Lifetime" localSheetId="10">#REF!</definedName>
    <definedName name="Modélisation_Switch_Grand_TEC" localSheetId="2">#REF!</definedName>
    <definedName name="Modélisation_Switch_Grand_TEC" localSheetId="7">#REF!</definedName>
    <definedName name="Modélisation_Switch_Grand_TEC" localSheetId="6">#REF!</definedName>
    <definedName name="Modélisation_Switch_Grand_TEC" localSheetId="10">#REF!</definedName>
    <definedName name="Modélisation_Switch_Grand_TEC" localSheetId="18">#REF!</definedName>
    <definedName name="Modélisation_Switch_Grand_TEC" localSheetId="19">#REF!</definedName>
    <definedName name="Modélisation_Switch_Petit_Amont" localSheetId="2">#REF!</definedName>
    <definedName name="Modélisation_Switch_Petit_Amont" localSheetId="7">#REF!</definedName>
    <definedName name="Modélisation_Switch_Petit_Amont" localSheetId="6">#REF!</definedName>
    <definedName name="Modélisation_Switch_Petit_Amont" localSheetId="10">#REF!</definedName>
    <definedName name="Modélisation_Switch_Petit_Amont" localSheetId="18">#REF!</definedName>
    <definedName name="Modélisation_Switch_Petit_Amont" localSheetId="19">#REF!</definedName>
    <definedName name="Modélisation_Switch_Petit_Aval" localSheetId="2">#REF!</definedName>
    <definedName name="Modélisation_Switch_Petit_Aval" localSheetId="7">#REF!</definedName>
    <definedName name="Modélisation_Switch_Petit_Aval" localSheetId="6">#REF!</definedName>
    <definedName name="Modélisation_Switch_Petit_Aval" localSheetId="10">#REF!</definedName>
    <definedName name="Modélisation_Switch_Petit_Lifetime" localSheetId="2">#REF!</definedName>
    <definedName name="Modélisation_Switch_Petit_Lifetime" localSheetId="7">#REF!</definedName>
    <definedName name="Modélisation_Switch_Petit_Lifetime" localSheetId="6">#REF!</definedName>
    <definedName name="Modélisation_Switch_Petit_Lifetime" localSheetId="10">#REF!</definedName>
    <definedName name="Modélisation_Switch_Petit_TEC" localSheetId="2">#REF!</definedName>
    <definedName name="Modélisation_Switch_Petit_TEC" localSheetId="7">#REF!</definedName>
    <definedName name="Modélisation_Switch_Petit_TEC" localSheetId="6">#REF!</definedName>
    <definedName name="Modélisation_Switch_Petit_TEC" localSheetId="10">#REF!</definedName>
    <definedName name="Modélisation_Switch_Petit_TEC" localSheetId="18">#REF!</definedName>
    <definedName name="Modélisation_Switch_Petit_TEC" localSheetId="19">#REF!</definedName>
    <definedName name="Modélisation_Tablette_Amont" localSheetId="2">#REF!</definedName>
    <definedName name="Modélisation_Tablette_Amont" localSheetId="7">#REF!</definedName>
    <definedName name="Modélisation_Tablette_Amont" localSheetId="6">#REF!</definedName>
    <definedName name="Modélisation_Tablette_Amont" localSheetId="10">#REF!</definedName>
    <definedName name="Modélisation_Tablette_Amont" localSheetId="19">#REF!</definedName>
    <definedName name="Modélisation_Tablette_Gwp_total" localSheetId="2">#REF!</definedName>
    <definedName name="Modélisation_Tablette_Gwp_total" localSheetId="7">#REF!</definedName>
    <definedName name="Modélisation_Tablette_Gwp_total" localSheetId="6">#REF!</definedName>
    <definedName name="Modélisation_Tablette_Gwp_total" localSheetId="10">#REF!</definedName>
    <definedName name="Modélisation_Tablette_Gwp_total" localSheetId="19">#REF!</definedName>
    <definedName name="Modélisation_Tablette_Lifetime" localSheetId="2">#REF!</definedName>
    <definedName name="Modélisation_Tablette_Lifetime" localSheetId="7">#REF!</definedName>
    <definedName name="Modélisation_Tablette_Lifetime" localSheetId="6">#REF!</definedName>
    <definedName name="Modélisation_Tablette_Lifetime" localSheetId="10">#REF!</definedName>
    <definedName name="Modélisation_Tablette_TEC" localSheetId="2">#REF!</definedName>
    <definedName name="Modélisation_Tablette_TEC" localSheetId="7">#REF!</definedName>
    <definedName name="Modélisation_Tablette_TEC" localSheetId="6">#REF!</definedName>
    <definedName name="Modélisation_Tablette_TEC" localSheetId="10">#REF!</definedName>
    <definedName name="Modélisation_Tablette_TEC" localSheetId="19">#REF!</definedName>
    <definedName name="Modélisation_Telfixe_Amont" localSheetId="2">#REF!</definedName>
    <definedName name="Modélisation_Telfixe_Amont" localSheetId="7">#REF!</definedName>
    <definedName name="Modélisation_Telfixe_Amont" localSheetId="6">#REF!</definedName>
    <definedName name="Modélisation_Telfixe_Amont" localSheetId="10">#REF!</definedName>
    <definedName name="Modélisation_Telfixe_Cradletograve" localSheetId="2">#REF!</definedName>
    <definedName name="Modélisation_Telfixe_Cradletograve" localSheetId="7">#REF!</definedName>
    <definedName name="Modélisation_Telfixe_Cradletograve" localSheetId="6">#REF!</definedName>
    <definedName name="Modélisation_Telfixe_Cradletograve" localSheetId="10">#REF!</definedName>
    <definedName name="Modélisation_Telfixe_Lifetime" localSheetId="2">#REF!</definedName>
    <definedName name="Modélisation_Telfixe_Lifetime" localSheetId="7">#REF!</definedName>
    <definedName name="Modélisation_Telfixe_Lifetime" localSheetId="6">#REF!</definedName>
    <definedName name="Modélisation_Telfixe_Lifetime" localSheetId="10">#REF!</definedName>
    <definedName name="Modélisation_Telfixe_TEC" localSheetId="2">#REF!</definedName>
    <definedName name="Modélisation_Telfixe_TEC" localSheetId="7">#REF!</definedName>
    <definedName name="Modélisation_Telfixe_TEC" localSheetId="6">#REF!</definedName>
    <definedName name="Modélisation_Telfixe_TEC" localSheetId="10">#REF!</definedName>
    <definedName name="Modélisation_Telfixe_TEC" localSheetId="19">#REF!</definedName>
    <definedName name="Modélisation_Wifi_Amont" localSheetId="2">#REF!</definedName>
    <definedName name="Modélisation_Wifi_Amont" localSheetId="7">#REF!</definedName>
    <definedName name="Modélisation_Wifi_Amont" localSheetId="6">#REF!</definedName>
    <definedName name="Modélisation_Wifi_Amont" localSheetId="10">#REF!</definedName>
    <definedName name="Modélisation_Wifi_Amont" localSheetId="19">#REF!</definedName>
    <definedName name="Modélisation_Wifi_Lifetime" localSheetId="2">#REF!</definedName>
    <definedName name="Modélisation_Wifi_Lifetime" localSheetId="7">#REF!</definedName>
    <definedName name="Modélisation_Wifi_Lifetime" localSheetId="6">#REF!</definedName>
    <definedName name="Modélisation_Wifi_Lifetime" localSheetId="10">#REF!</definedName>
    <definedName name="Modélisation_Wifi_TEC" localSheetId="2">#REF!</definedName>
    <definedName name="Modélisation_Wifi_TEC" localSheetId="7">#REF!</definedName>
    <definedName name="Modélisation_Wifi_TEC" localSheetId="6">#REF!</definedName>
    <definedName name="Modélisation_Wifi_TEC" localSheetId="10">#REF!</definedName>
    <definedName name="Modélisation_Wifi_TEC" localSheetId="19">#REF!</definedName>
    <definedName name="Résultats_Ordinateurs_Portables" localSheetId="2">#REF!</definedName>
    <definedName name="Résultats_Ordinateurs_Portables" localSheetId="7">#REF!</definedName>
    <definedName name="Résultats_Ordinateurs_Portables" localSheetId="6">#REF!</definedName>
    <definedName name="Résultats_Ordinateurs_Portables" localSheetId="10">#REF!</definedName>
    <definedName name="SaaS" localSheetId="2">#REF!</definedName>
    <definedName name="SaaS" localSheetId="7">#REF!</definedName>
    <definedName name="SaaS" localSheetId="6">#REF!</definedName>
    <definedName name="SaaS" localSheetId="10">#REF!</definedName>
    <definedName name="SaaS" localSheetId="19">#REF!</definedName>
    <definedName name="Scope2_Devices" localSheetId="17">'2.7 Carto équipements Non Cyber'!$C$12</definedName>
    <definedName name="Scope2_Devices">'2.1 Cartographie dispositifs'!$C$12</definedName>
    <definedName name="Scope2_External">'2.5 Carto services externes'!$C$12</definedName>
    <definedName name="Scope2_Network">'2.2 Cartographie réseau'!$C$12</definedName>
    <definedName name="Scope2_Non_Cyber">'2.7 Carto équipements Non Cyber'!$C$12:$C$12</definedName>
    <definedName name="Scope2_Servers">'2.3 Carto serveurs sauvegarde'!$C$12</definedName>
    <definedName name="Scope2_Solutions">'2.4 Carto Infra logiciels Cyber'!$C$12</definedName>
    <definedName name="Scope2_Travel">'2.6 Cartographie voyages'!$C$12</definedName>
    <definedName name="Scope3_Devices" localSheetId="17">'2.7 Carto équipements Non Cyber'!$C$13</definedName>
    <definedName name="Scope3_Devices">'2.1 Cartographie dispositifs'!$C$13</definedName>
    <definedName name="Scope3_External">'2.5 Carto services externes'!$C$13</definedName>
    <definedName name="Scope3_Network">'2.2 Cartographie réseau'!$C$13</definedName>
    <definedName name="Scope3_Non_Cyber">'2.7 Carto équipements Non Cyber'!$C$13:$C$13</definedName>
    <definedName name="Scope3_Servers">'2.3 Carto serveurs sauvegarde'!$C$13</definedName>
    <definedName name="Scope3_Solutions">'2.4 Carto Infra logiciels Cyber'!$C$13</definedName>
    <definedName name="Scope3_Travel">'2.6 Cartographie voyages'!$C$13</definedName>
    <definedName name="SP_EXCEL_LINK_68d5c4a4cc0f4253b9ef9879cf02392a" localSheetId="2" hidden="1">#REF!</definedName>
    <definedName name="SP_EXCEL_LINK_68d5c4a4cc0f4253b9ef9879cf02392a" localSheetId="7" hidden="1">#REF!</definedName>
    <definedName name="SP_EXCEL_LINK_68d5c4a4cc0f4253b9ef9879cf02392a" localSheetId="6" hidden="1">#REF!</definedName>
    <definedName name="SP_EXCEL_LINK_68d5c4a4cc0f4253b9ef9879cf02392a" localSheetId="10" hidden="1">#REF!</definedName>
    <definedName name="Statut" localSheetId="2">#REF!</definedName>
    <definedName name="Statut" localSheetId="7">#REF!</definedName>
    <definedName name="Statut" localSheetId="6">#REF!</definedName>
    <definedName name="Statut" localSheetId="10">#REF!</definedName>
    <definedName name="Total" localSheetId="2">#REF!</definedName>
    <definedName name="Total" localSheetId="7">#REF!</definedName>
    <definedName name="Total" localSheetId="6">#REF!</definedName>
    <definedName name="Total" localSheetId="10">#REF!</definedName>
    <definedName name="Total">'4.1 Tableau de bord NIST'!$B$1</definedName>
    <definedName name="Total_Devices" localSheetId="17">'2.7 Carto équipements Non Cyber'!$C$11</definedName>
    <definedName name="Total_Devices">'2.1 Cartographie dispositifs'!$C$11</definedName>
    <definedName name="Total_External">'2.5 Carto services externes'!$C$11</definedName>
    <definedName name="Total_External_Services">'2.5 Carto services externes'!$C$11</definedName>
    <definedName name="Total_GES_Cloud_Mail" localSheetId="2">#REF!</definedName>
    <definedName name="Total_GES_Cloud_Mail" localSheetId="7">#REF!</definedName>
    <definedName name="Total_GES_Cloud_Mail" localSheetId="6">#REF!</definedName>
    <definedName name="Total_GES_Cloud_Mail" localSheetId="10">#REF!</definedName>
    <definedName name="Total_GES_Cloud_Mail" localSheetId="19">#REF!</definedName>
    <definedName name="Total_GES_Cloud_Mail_Cible" localSheetId="2">#REF!</definedName>
    <definedName name="Total_GES_Cloud_Mail_Cible" localSheetId="7">#REF!</definedName>
    <definedName name="Total_GES_Cloud_Mail_Cible" localSheetId="6">#REF!</definedName>
    <definedName name="Total_GES_Cloud_Mail_Cible" localSheetId="10">#REF!</definedName>
    <definedName name="Total_GES_Cloud_Mail_Cible" localSheetId="19">#REF!</definedName>
    <definedName name="Total_GES_Cloud_Stockage" localSheetId="2">#REF!</definedName>
    <definedName name="Total_GES_Cloud_Stockage" localSheetId="7">#REF!</definedName>
    <definedName name="Total_GES_Cloud_Stockage" localSheetId="6">#REF!</definedName>
    <definedName name="Total_GES_Cloud_Stockage" localSheetId="10">#REF!</definedName>
    <definedName name="Total_GES_Cloud_Stockage" localSheetId="19">#REF!</definedName>
    <definedName name="Total_GES_Cloud_Stockage_Cible" localSheetId="2">#REF!</definedName>
    <definedName name="Total_GES_Cloud_Stockage_Cible" localSheetId="7">#REF!</definedName>
    <definedName name="Total_GES_Cloud_Stockage_Cible" localSheetId="6">#REF!</definedName>
    <definedName name="Total_GES_Cloud_Stockage_Cible" localSheetId="10">#REF!</definedName>
    <definedName name="Total_GES_Cloud_Stockage_Cible" localSheetId="19">#REF!</definedName>
    <definedName name="Total_GES_Cloud_Visio" localSheetId="2">#REF!</definedName>
    <definedName name="Total_GES_Cloud_Visio" localSheetId="7">#REF!</definedName>
    <definedName name="Total_GES_Cloud_Visio" localSheetId="6">#REF!</definedName>
    <definedName name="Total_GES_Cloud_Visio" localSheetId="10">#REF!</definedName>
    <definedName name="Total_GES_Cloud_Visio" localSheetId="19">#REF!</definedName>
    <definedName name="Total_GES_Cloud_Visio_Cible" localSheetId="2">#REF!</definedName>
    <definedName name="Total_GES_Cloud_Visio_Cible" localSheetId="7">#REF!</definedName>
    <definedName name="Total_GES_Cloud_Visio_Cible" localSheetId="6">#REF!</definedName>
    <definedName name="Total_GES_Cloud_Visio_Cible" localSheetId="10">#REF!</definedName>
    <definedName name="Total_GES_Cloud_Visio_Cible" localSheetId="19">#REF!</definedName>
    <definedName name="Total_GES_Ecrans" localSheetId="2">#REF!</definedName>
    <definedName name="Total_GES_Ecrans" localSheetId="7">#REF!</definedName>
    <definedName name="Total_GES_Ecrans" localSheetId="6">#REF!</definedName>
    <definedName name="Total_GES_Ecrans" localSheetId="10">#REF!</definedName>
    <definedName name="Total_GES_Ecrans" localSheetId="19">#REF!</definedName>
    <definedName name="Total_GES_Ecrans_Cible" localSheetId="2">#REF!</definedName>
    <definedName name="Total_GES_Ecrans_Cible" localSheetId="7">#REF!</definedName>
    <definedName name="Total_GES_Ecrans_Cible" localSheetId="6">#REF!</definedName>
    <definedName name="Total_GES_Ecrans_Cible" localSheetId="10">#REF!</definedName>
    <definedName name="Total_GES_Ecrans_Cible" localSheetId="19">#REF!</definedName>
    <definedName name="Total_GES_Firewalls" localSheetId="2">#REF!</definedName>
    <definedName name="Total_GES_Firewalls" localSheetId="7">#REF!</definedName>
    <definedName name="Total_GES_Firewalls" localSheetId="6">#REF!</definedName>
    <definedName name="Total_GES_Firewalls" localSheetId="10">#REF!</definedName>
    <definedName name="Total_GES_Firewalls_Cible" localSheetId="2">#REF!</definedName>
    <definedName name="Total_GES_Firewalls_Cible" localSheetId="7">#REF!</definedName>
    <definedName name="Total_GES_Firewalls_Cible" localSheetId="6">#REF!</definedName>
    <definedName name="Total_GES_Firewalls_Cible" localSheetId="10">#REF!</definedName>
    <definedName name="Total_GES_Firewalls_Cible_V2" localSheetId="2">#REF!</definedName>
    <definedName name="Total_GES_Firewalls_Cible_V2" localSheetId="7">#REF!</definedName>
    <definedName name="Total_GES_Firewalls_Cible_V2" localSheetId="6">#REF!</definedName>
    <definedName name="Total_GES_Firewalls_Cible_V2" localSheetId="10">#REF!</definedName>
    <definedName name="Total_GES_Firewalls_Cible_V2" localSheetId="19">#REF!</definedName>
    <definedName name="Total_GES_Firewalls_V2" localSheetId="2">#REF!</definedName>
    <definedName name="Total_GES_Firewalls_V2" localSheetId="7">#REF!</definedName>
    <definedName name="Total_GES_Firewalls_V2" localSheetId="6">#REF!</definedName>
    <definedName name="Total_GES_Firewalls_V2" localSheetId="10">#REF!</definedName>
    <definedName name="Total_GES_Firewalls_V2" localSheetId="19">#REF!</definedName>
    <definedName name="Total_GES_Imprimantes" localSheetId="2">#REF!</definedName>
    <definedName name="Total_GES_Imprimantes" localSheetId="7">#REF!</definedName>
    <definedName name="Total_GES_Imprimantes" localSheetId="6">#REF!</definedName>
    <definedName name="Total_GES_Imprimantes" localSheetId="10">#REF!</definedName>
    <definedName name="Total_GES_Imprimantes" localSheetId="19">#REF!</definedName>
    <definedName name="Total_GES_Imprimantes_Cible" localSheetId="2">#REF!</definedName>
    <definedName name="Total_GES_Imprimantes_Cible" localSheetId="7">#REF!</definedName>
    <definedName name="Total_GES_Imprimantes_Cible" localSheetId="6">#REF!</definedName>
    <definedName name="Total_GES_Imprimantes_Cible" localSheetId="10">#REF!</definedName>
    <definedName name="Total_GES_Imprimantes_Cible" localSheetId="19">#REF!</definedName>
    <definedName name="Total_GES_Laptop" localSheetId="2">#REF!</definedName>
    <definedName name="Total_GES_Laptop" localSheetId="7">#REF!</definedName>
    <definedName name="Total_GES_Laptop" localSheetId="6">#REF!</definedName>
    <definedName name="Total_GES_Laptop" localSheetId="10">#REF!</definedName>
    <definedName name="Total_GES_Laptop_Cible" localSheetId="2">#REF!</definedName>
    <definedName name="Total_GES_Laptop_Cible" localSheetId="7">#REF!</definedName>
    <definedName name="Total_GES_Laptop_Cible" localSheetId="6">#REF!</definedName>
    <definedName name="Total_GES_Laptop_Cible" localSheetId="10">#REF!</definedName>
    <definedName name="Total_GES_PC" localSheetId="2">#REF!</definedName>
    <definedName name="Total_GES_PC" localSheetId="7">#REF!</definedName>
    <definedName name="Total_GES_PC" localSheetId="6">#REF!</definedName>
    <definedName name="Total_GES_PC" localSheetId="10">#REF!</definedName>
    <definedName name="Total_GES_PC_Cible" localSheetId="2">#REF!</definedName>
    <definedName name="Total_GES_PC_Cible" localSheetId="7">#REF!</definedName>
    <definedName name="Total_GES_PC_Cible" localSheetId="6">#REF!</definedName>
    <definedName name="Total_GES_PC_Cible" localSheetId="10">#REF!</definedName>
    <definedName name="Total_GES_Projection" localSheetId="2">#REF!</definedName>
    <definedName name="Total_GES_Projection" localSheetId="7">#REF!</definedName>
    <definedName name="Total_GES_Projection" localSheetId="6">#REF!</definedName>
    <definedName name="Total_GES_Projection" localSheetId="10">#REF!</definedName>
    <definedName name="Total_GES_Projection" localSheetId="19">#REF!</definedName>
    <definedName name="Total_GES_Projection_Cible" localSheetId="2">#REF!</definedName>
    <definedName name="Total_GES_Projection_Cible" localSheetId="7">#REF!</definedName>
    <definedName name="Total_GES_Projection_Cible" localSheetId="6">#REF!</definedName>
    <definedName name="Total_GES_Projection_Cible" localSheetId="10">#REF!</definedName>
    <definedName name="Total_GES_Projection_Cible" localSheetId="19">#REF!</definedName>
    <definedName name="Total_GES_Routeurs" localSheetId="2">#REF!</definedName>
    <definedName name="Total_GES_Routeurs" localSheetId="7">#REF!</definedName>
    <definedName name="Total_GES_Routeurs" localSheetId="6">#REF!</definedName>
    <definedName name="Total_GES_Routeurs" localSheetId="10">#REF!</definedName>
    <definedName name="Total_GES_Routeurs_Cible" localSheetId="2">#REF!</definedName>
    <definedName name="Total_GES_Routeurs_Cible" localSheetId="7">#REF!</definedName>
    <definedName name="Total_GES_Routeurs_Cible" localSheetId="6">#REF!</definedName>
    <definedName name="Total_GES_Routeurs_Cible" localSheetId="10">#REF!</definedName>
    <definedName name="Total_GES_Routeurs_Cible_V2" localSheetId="2">#REF!</definedName>
    <definedName name="Total_GES_Routeurs_Cible_V2" localSheetId="7">#REF!</definedName>
    <definedName name="Total_GES_Routeurs_Cible_V2" localSheetId="6">#REF!</definedName>
    <definedName name="Total_GES_Routeurs_Cible_V2" localSheetId="10">#REF!</definedName>
    <definedName name="Total_GES_Routeurs_Cible_V2" localSheetId="19">#REF!</definedName>
    <definedName name="Total_GES_Routeurs_V2" localSheetId="2">#REF!</definedName>
    <definedName name="Total_GES_Routeurs_V2" localSheetId="7">#REF!</definedName>
    <definedName name="Total_GES_Routeurs_V2" localSheetId="6">#REF!</definedName>
    <definedName name="Total_GES_Routeurs_V2" localSheetId="10">#REF!</definedName>
    <definedName name="Total_GES_Routeurs_V2" localSheetId="19">#REF!</definedName>
    <definedName name="Total_GES_Serveurs" localSheetId="2">#REF!</definedName>
    <definedName name="Total_GES_Serveurs" localSheetId="7">#REF!</definedName>
    <definedName name="Total_GES_Serveurs" localSheetId="6">#REF!</definedName>
    <definedName name="Total_GES_Serveurs" localSheetId="10">#REF!</definedName>
    <definedName name="Total_GES_Serveurs_Boavizta" localSheetId="2">#REF!</definedName>
    <definedName name="Total_GES_Serveurs_Boavizta" localSheetId="7">#REF!</definedName>
    <definedName name="Total_GES_Serveurs_Boavizta" localSheetId="6">#REF!</definedName>
    <definedName name="Total_GES_Serveurs_Boavizta" localSheetId="10">#REF!</definedName>
    <definedName name="Total_GES_Serveurs_Boavizta" localSheetId="19">#REF!</definedName>
    <definedName name="Total_GES_Serveurs_Boavizta_Cible" localSheetId="2">#REF!</definedName>
    <definedName name="Total_GES_Serveurs_Boavizta_Cible" localSheetId="7">#REF!</definedName>
    <definedName name="Total_GES_Serveurs_Boavizta_Cible" localSheetId="6">#REF!</definedName>
    <definedName name="Total_GES_Serveurs_Boavizta_Cible" localSheetId="10">#REF!</definedName>
    <definedName name="Total_GES_Serveurs_Boavizta_Cible" localSheetId="19">#REF!</definedName>
    <definedName name="Total_GES_Serveurs_Cible" localSheetId="2">#REF!</definedName>
    <definedName name="Total_GES_Serveurs_Cible" localSheetId="7">#REF!</definedName>
    <definedName name="Total_GES_Serveurs_Cible" localSheetId="6">#REF!</definedName>
    <definedName name="Total_GES_Serveurs_Cible" localSheetId="10">#REF!</definedName>
    <definedName name="Total_GES_Smartphones" localSheetId="2">#REF!</definedName>
    <definedName name="Total_GES_Smartphones" localSheetId="7">#REF!</definedName>
    <definedName name="Total_GES_Smartphones" localSheetId="6">#REF!</definedName>
    <definedName name="Total_GES_Smartphones" localSheetId="10">#REF!</definedName>
    <definedName name="Total_GES_Smartphones" localSheetId="19">#REF!</definedName>
    <definedName name="Total_GES_Switchs" localSheetId="2">#REF!</definedName>
    <definedName name="Total_GES_Switchs" localSheetId="7">#REF!</definedName>
    <definedName name="Total_GES_Switchs" localSheetId="6">#REF!</definedName>
    <definedName name="Total_GES_Switchs" localSheetId="10">#REF!</definedName>
    <definedName name="Total_GES_Switchs_Cible" localSheetId="2">#REF!</definedName>
    <definedName name="Total_GES_Switchs_Cible" localSheetId="7">#REF!</definedName>
    <definedName name="Total_GES_Switchs_Cible" localSheetId="6">#REF!</definedName>
    <definedName name="Total_GES_Switchs_Cible" localSheetId="10">#REF!</definedName>
    <definedName name="Total_GES_Switchs_Cible_V2" localSheetId="2">#REF!</definedName>
    <definedName name="Total_GES_Switchs_Cible_V2" localSheetId="7">#REF!</definedName>
    <definedName name="Total_GES_Switchs_Cible_V2" localSheetId="6">#REF!</definedName>
    <definedName name="Total_GES_Switchs_Cible_V2" localSheetId="10">#REF!</definedName>
    <definedName name="Total_GES_Switchs_Cible_V2" localSheetId="19">#REF!</definedName>
    <definedName name="Total_GES_Switchs_V2" localSheetId="2">#REF!</definedName>
    <definedName name="Total_GES_Switchs_V2" localSheetId="7">#REF!</definedName>
    <definedName name="Total_GES_Switchs_V2" localSheetId="6">#REF!</definedName>
    <definedName name="Total_GES_Switchs_V2" localSheetId="10">#REF!</definedName>
    <definedName name="Total_GES_Switchs_V2" localSheetId="19">#REF!</definedName>
    <definedName name="Total_GES_Tablettes" localSheetId="2">#REF!</definedName>
    <definedName name="Total_GES_Tablettes" localSheetId="7">#REF!</definedName>
    <definedName name="Total_GES_Tablettes" localSheetId="6">#REF!</definedName>
    <definedName name="Total_GES_Tablettes" localSheetId="10">#REF!</definedName>
    <definedName name="Total_GES_Tablettes" localSheetId="19">#REF!</definedName>
    <definedName name="Total_GES_Tablettes_Cible" localSheetId="2">#REF!</definedName>
    <definedName name="Total_GES_Tablettes_Cible" localSheetId="7">#REF!</definedName>
    <definedName name="Total_GES_Tablettes_Cible" localSheetId="6">#REF!</definedName>
    <definedName name="Total_GES_Tablettes_Cible" localSheetId="10">#REF!</definedName>
    <definedName name="Total_GES_Tablettes_Cible" localSheetId="19">#REF!</definedName>
    <definedName name="Total_GES_Téléphones_fixes" localSheetId="2">#REF!</definedName>
    <definedName name="Total_GES_Téléphones_fixes" localSheetId="7">#REF!</definedName>
    <definedName name="Total_GES_Téléphones_fixes" localSheetId="6">#REF!</definedName>
    <definedName name="Total_GES_Téléphones_fixes" localSheetId="10">#REF!</definedName>
    <definedName name="Total_GES_Téléphones_fixes" localSheetId="19">#REF!</definedName>
    <definedName name="Total_GES_Téléphones_fixes_cible" localSheetId="2">#REF!</definedName>
    <definedName name="Total_GES_Téléphones_fixes_cible" localSheetId="7">#REF!</definedName>
    <definedName name="Total_GES_Téléphones_fixes_cible" localSheetId="6">#REF!</definedName>
    <definedName name="Total_GES_Téléphones_fixes_cible" localSheetId="10">#REF!</definedName>
    <definedName name="Total_GES_Téléphones_fixes_cible" localSheetId="19">#REF!</definedName>
    <definedName name="Total_GES_Téléphonie_Cible" localSheetId="2">#REF!</definedName>
    <definedName name="Total_GES_Téléphonie_Cible" localSheetId="7">#REF!</definedName>
    <definedName name="Total_GES_Téléphonie_Cible" localSheetId="6">#REF!</definedName>
    <definedName name="Total_GES_Téléphonie_Cible" localSheetId="10">#REF!</definedName>
    <definedName name="Total_GES_Téléphonie_Cible" localSheetId="19">#REF!</definedName>
    <definedName name="Total_GES_Televiseurs" localSheetId="2">#REF!</definedName>
    <definedName name="Total_GES_Televiseurs" localSheetId="7">#REF!</definedName>
    <definedName name="Total_GES_Televiseurs" localSheetId="6">#REF!</definedName>
    <definedName name="Total_GES_Televiseurs" localSheetId="10">#REF!</definedName>
    <definedName name="Total_GES_Televiseurs" localSheetId="19">#REF!</definedName>
    <definedName name="Total_GES_Televiseurs_Cible" localSheetId="2">#REF!</definedName>
    <definedName name="Total_GES_Televiseurs_Cible" localSheetId="7">#REF!</definedName>
    <definedName name="Total_GES_Televiseurs_Cible" localSheetId="6">#REF!</definedName>
    <definedName name="Total_GES_Televiseurs_Cible" localSheetId="10">#REF!</definedName>
    <definedName name="Total_GES_Televiseurs_Cible" localSheetId="19">#REF!</definedName>
    <definedName name="Total_GES_Visioconférence" localSheetId="2">#REF!</definedName>
    <definedName name="Total_GES_Visioconférence" localSheetId="7">#REF!</definedName>
    <definedName name="Total_GES_Visioconférence" localSheetId="6">#REF!</definedName>
    <definedName name="Total_GES_Visioconférence" localSheetId="10">#REF!</definedName>
    <definedName name="Total_GES_Visioconférence" localSheetId="19">#REF!</definedName>
    <definedName name="Total_GES_Visioconférence_Cible" localSheetId="2">#REF!</definedName>
    <definedName name="Total_GES_Visioconférence_Cible" localSheetId="7">#REF!</definedName>
    <definedName name="Total_GES_Visioconférence_Cible" localSheetId="6">#REF!</definedName>
    <definedName name="Total_GES_Visioconférence_Cible" localSheetId="10">#REF!</definedName>
    <definedName name="Total_GES_Visioconférence_Cible" localSheetId="19">#REF!</definedName>
    <definedName name="Total_GES_Wifi" localSheetId="2">#REF!</definedName>
    <definedName name="Total_GES_Wifi" localSheetId="7">#REF!</definedName>
    <definedName name="Total_GES_Wifi" localSheetId="6">#REF!</definedName>
    <definedName name="Total_GES_Wifi" localSheetId="10">#REF!</definedName>
    <definedName name="Total_GES_Wifi_Cible" localSheetId="2">#REF!</definedName>
    <definedName name="Total_GES_Wifi_Cible" localSheetId="7">#REF!</definedName>
    <definedName name="Total_GES_Wifi_Cible" localSheetId="6">#REF!</definedName>
    <definedName name="Total_GES_Wifi_Cible" localSheetId="10">#REF!</definedName>
    <definedName name="Total_GES_Wifi_Cible_V2" localSheetId="2">#REF!</definedName>
    <definedName name="Total_GES_Wifi_Cible_V2" localSheetId="7">#REF!</definedName>
    <definedName name="Total_GES_Wifi_Cible_V2" localSheetId="6">#REF!</definedName>
    <definedName name="Total_GES_Wifi_Cible_V2" localSheetId="10">#REF!</definedName>
    <definedName name="Total_GES_Wifi_Cible_V2" localSheetId="19">#REF!</definedName>
    <definedName name="Total_GES_Wifi_V2" localSheetId="2">#REF!</definedName>
    <definedName name="Total_GES_Wifi_V2" localSheetId="7">#REF!</definedName>
    <definedName name="Total_GES_Wifi_V2" localSheetId="6">#REF!</definedName>
    <definedName name="Total_GES_Wifi_V2" localSheetId="10">#REF!</definedName>
    <definedName name="Total_GES_Wifi_V2" localSheetId="19">#REF!</definedName>
    <definedName name="Total_Network">'2.2 Cartographie réseau'!$C$11</definedName>
    <definedName name="Total_Non_Cyber">'2.7 Carto équipements Non Cyber'!$C$11:$C$11</definedName>
    <definedName name="Total_Scope2">'4.1 Tableau de bord NIST'!$B$2</definedName>
    <definedName name="Total_Scope3">'4.1 Tableau de bord NIST'!$B$3</definedName>
    <definedName name="Total_Servers">'2.3 Carto serveurs sauvegarde'!$C$11</definedName>
    <definedName name="Total_Solutions">'2.4 Carto Infra logiciels Cyber'!$C$11</definedName>
    <definedName name="Total_Travel">'2.6 Cartographie voyages'!$C$11</definedName>
    <definedName name="Utilisation_GES_Ecrans" localSheetId="2">#REF!</definedName>
    <definedName name="Utilisation_GES_Ecrans" localSheetId="7">#REF!</definedName>
    <definedName name="Utilisation_GES_Ecrans" localSheetId="6">#REF!</definedName>
    <definedName name="Utilisation_GES_Ecrans" localSheetId="10">#REF!</definedName>
    <definedName name="Utilisation_GES_Ecrans" localSheetId="19">#REF!</definedName>
    <definedName name="Utilisation_GES_Firewall" localSheetId="2">#REF!</definedName>
    <definedName name="Utilisation_GES_Firewall" localSheetId="7">#REF!</definedName>
    <definedName name="Utilisation_GES_Firewall" localSheetId="6">#REF!</definedName>
    <definedName name="Utilisation_GES_Firewall" localSheetId="10">#REF!</definedName>
    <definedName name="Utilisation_GES_Firewall_V2" localSheetId="2">#REF!</definedName>
    <definedName name="Utilisation_GES_Firewall_V2" localSheetId="7">#REF!</definedName>
    <definedName name="Utilisation_GES_Firewall_V2" localSheetId="6">#REF!</definedName>
    <definedName name="Utilisation_GES_Firewall_V2" localSheetId="10">#REF!</definedName>
    <definedName name="Utilisation_GES_Firewall_V2" localSheetId="19">#REF!</definedName>
    <definedName name="Utilisation_GES_Imprimantes" localSheetId="2">#REF!</definedName>
    <definedName name="Utilisation_GES_Imprimantes" localSheetId="7">#REF!</definedName>
    <definedName name="Utilisation_GES_Imprimantes" localSheetId="6">#REF!</definedName>
    <definedName name="Utilisation_GES_Imprimantes" localSheetId="10">#REF!</definedName>
    <definedName name="Utilisation_GES_Imprimantes" localSheetId="19">#REF!</definedName>
    <definedName name="Utilisation_GES_Laptop" localSheetId="2">#REF!</definedName>
    <definedName name="Utilisation_GES_Laptop" localSheetId="7">#REF!</definedName>
    <definedName name="Utilisation_GES_Laptop" localSheetId="6">#REF!</definedName>
    <definedName name="Utilisation_GES_Laptop" localSheetId="10">#REF!</definedName>
    <definedName name="Utilisation_GES_PC" localSheetId="2">#REF!</definedName>
    <definedName name="Utilisation_GES_PC" localSheetId="7">#REF!</definedName>
    <definedName name="Utilisation_GES_PC" localSheetId="6">#REF!</definedName>
    <definedName name="Utilisation_GES_PC" localSheetId="10">#REF!</definedName>
    <definedName name="Utilisation_GES_Projection" localSheetId="2">#REF!</definedName>
    <definedName name="Utilisation_GES_Projection" localSheetId="7">#REF!</definedName>
    <definedName name="Utilisation_GES_Projection" localSheetId="6">#REF!</definedName>
    <definedName name="Utilisation_GES_Projection" localSheetId="10">#REF!</definedName>
    <definedName name="Utilisation_GES_Projection" localSheetId="19">#REF!</definedName>
    <definedName name="Utilisation_GES_Routeurs" localSheetId="2">#REF!</definedName>
    <definedName name="Utilisation_GES_Routeurs" localSheetId="7">#REF!</definedName>
    <definedName name="Utilisation_GES_Routeurs" localSheetId="6">#REF!</definedName>
    <definedName name="Utilisation_GES_Routeurs" localSheetId="10">#REF!</definedName>
    <definedName name="Utilisation_GES_Routeurs_V2" localSheetId="2">#REF!</definedName>
    <definedName name="Utilisation_GES_Routeurs_V2" localSheetId="7">#REF!</definedName>
    <definedName name="Utilisation_GES_Routeurs_V2" localSheetId="6">#REF!</definedName>
    <definedName name="Utilisation_GES_Routeurs_V2" localSheetId="10">#REF!</definedName>
    <definedName name="Utilisation_GES_Routeurs_V2" localSheetId="19">#REF!</definedName>
    <definedName name="Utilisation_GES_Serveurs" localSheetId="2">#REF!</definedName>
    <definedName name="Utilisation_GES_Serveurs" localSheetId="7">#REF!</definedName>
    <definedName name="Utilisation_GES_Serveurs" localSheetId="6">#REF!</definedName>
    <definedName name="Utilisation_GES_Serveurs" localSheetId="10">#REF!</definedName>
    <definedName name="Utilisation_GES_Serveurs_Boavizta" localSheetId="2">#REF!</definedName>
    <definedName name="Utilisation_GES_Serveurs_Boavizta" localSheetId="7">#REF!</definedName>
    <definedName name="Utilisation_GES_Serveurs_Boavizta" localSheetId="6">#REF!</definedName>
    <definedName name="Utilisation_GES_Serveurs_Boavizta" localSheetId="10">#REF!</definedName>
    <definedName name="Utilisation_GES_Serveurs_Boavizta" localSheetId="19">#REF!</definedName>
    <definedName name="Utilisation_GES_Switchs" localSheetId="2">#REF!</definedName>
    <definedName name="Utilisation_GES_Switchs" localSheetId="7">#REF!</definedName>
    <definedName name="Utilisation_GES_Switchs" localSheetId="6">#REF!</definedName>
    <definedName name="Utilisation_GES_Switchs" localSheetId="10">#REF!</definedName>
    <definedName name="Utilisation_GES_Switchs_V2" localSheetId="2">#REF!</definedName>
    <definedName name="Utilisation_GES_Switchs_V2" localSheetId="7">#REF!</definedName>
    <definedName name="Utilisation_GES_Switchs_V2" localSheetId="6">#REF!</definedName>
    <definedName name="Utilisation_GES_Switchs_V2" localSheetId="10">#REF!</definedName>
    <definedName name="Utilisation_GES_Switchs_V2" localSheetId="19">#REF!</definedName>
    <definedName name="Utilisation_GES_Tablettes" localSheetId="2">#REF!</definedName>
    <definedName name="Utilisation_GES_Tablettes" localSheetId="7">#REF!</definedName>
    <definedName name="Utilisation_GES_Tablettes" localSheetId="6">#REF!</definedName>
    <definedName name="Utilisation_GES_Tablettes" localSheetId="10">#REF!</definedName>
    <definedName name="Utilisation_GES_Tablettes" localSheetId="19">#REF!</definedName>
    <definedName name="Utilisation_GES_Téléphones_fixes" localSheetId="2">#REF!</definedName>
    <definedName name="Utilisation_GES_Téléphones_fixes" localSheetId="7">#REF!</definedName>
    <definedName name="Utilisation_GES_Téléphones_fixes" localSheetId="6">#REF!</definedName>
    <definedName name="Utilisation_GES_Téléphones_fixes" localSheetId="10">#REF!</definedName>
    <definedName name="Utilisation_GES_Téléphones_fixes" localSheetId="19">#REF!</definedName>
    <definedName name="Utilisation_GES_Téléphonie" localSheetId="2">#REF!</definedName>
    <definedName name="Utilisation_GES_Téléphonie" localSheetId="7">#REF!</definedName>
    <definedName name="Utilisation_GES_Téléphonie" localSheetId="6">#REF!</definedName>
    <definedName name="Utilisation_GES_Téléphonie" localSheetId="10">#REF!</definedName>
    <definedName name="Utilisation_GES_Téléphonie" localSheetId="19">#REF!</definedName>
    <definedName name="Utilisation_GES_Televiseurs" localSheetId="2">#REF!</definedName>
    <definedName name="Utilisation_GES_Televiseurs" localSheetId="7">#REF!</definedName>
    <definedName name="Utilisation_GES_Televiseurs" localSheetId="6">#REF!</definedName>
    <definedName name="Utilisation_GES_Televiseurs" localSheetId="10">#REF!</definedName>
    <definedName name="Utilisation_GES_Televiseurs" localSheetId="19">#REF!</definedName>
    <definedName name="Utilisation_GES_Visioconférence" localSheetId="2">#REF!</definedName>
    <definedName name="Utilisation_GES_Visioconférence" localSheetId="7">#REF!</definedName>
    <definedName name="Utilisation_GES_Visioconférence" localSheetId="6">#REF!</definedName>
    <definedName name="Utilisation_GES_Visioconférence" localSheetId="10">#REF!</definedName>
    <definedName name="Utilisation_GES_Visioconférence" localSheetId="19">#REF!</definedName>
    <definedName name="Utilisation_GES_Wifi" localSheetId="2">#REF!</definedName>
    <definedName name="Utilisation_GES_Wifi" localSheetId="7">#REF!</definedName>
    <definedName name="Utilisation_GES_Wifi" localSheetId="6">#REF!</definedName>
    <definedName name="Utilisation_GES_Wifi" localSheetId="10">#REF!</definedName>
    <definedName name="Utilisation_GES_Wifi_V2" localSheetId="2">#REF!</definedName>
    <definedName name="Utilisation_GES_Wifi_V2" localSheetId="7">#REF!</definedName>
    <definedName name="Utilisation_GES_Wifi_V2" localSheetId="6">#REF!</definedName>
    <definedName name="Utilisation_GES_Wifi_V2" localSheetId="10">#REF!</definedName>
    <definedName name="Utilisation_GES_Wifi_V2" localSheetId="19">#REF!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75" l="1"/>
  <c r="H24" i="83"/>
  <c r="D21" i="67" l="1"/>
  <c r="G34" i="94" l="1"/>
  <c r="G48" i="32" a="1"/>
  <c r="G48" i="32" s="1"/>
  <c r="O21" i="32" a="1"/>
  <c r="O21" i="32" s="1"/>
  <c r="O22" i="32" a="1"/>
  <c r="O22" i="32"/>
  <c r="O23" i="32" a="1"/>
  <c r="O23" i="32"/>
  <c r="O24" i="32" a="1"/>
  <c r="O24" i="32" s="1"/>
  <c r="O25" i="32" a="1"/>
  <c r="O25" i="32"/>
  <c r="O26" i="32" a="1"/>
  <c r="O26" i="32"/>
  <c r="O27" i="32" a="1"/>
  <c r="O27" i="32" s="1"/>
  <c r="O28" i="32" a="1"/>
  <c r="O28" i="32" s="1"/>
  <c r="O29" i="32" a="1"/>
  <c r="O29" i="32"/>
  <c r="O30" i="32" a="1"/>
  <c r="O30" i="32"/>
  <c r="O31" i="32" a="1"/>
  <c r="O31" i="32" s="1"/>
  <c r="O32" i="32" a="1"/>
  <c r="O32" i="32"/>
  <c r="O33" i="32" a="1"/>
  <c r="O33" i="32"/>
  <c r="O34" i="32" a="1"/>
  <c r="O34" i="32" s="1"/>
  <c r="O35" i="32" a="1"/>
  <c r="O35" i="32" s="1"/>
  <c r="O36" i="32" a="1"/>
  <c r="O36" i="32"/>
  <c r="O37" i="32" a="1"/>
  <c r="O37" i="32"/>
  <c r="O38" i="32" a="1"/>
  <c r="O38" i="32" s="1"/>
  <c r="O39" i="32" a="1"/>
  <c r="O39" i="32"/>
  <c r="O40" i="32" a="1"/>
  <c r="O40" i="32"/>
  <c r="O41" i="32" a="1"/>
  <c r="O41" i="32" s="1"/>
  <c r="O42" i="32" a="1"/>
  <c r="O42" i="32" s="1"/>
  <c r="O43" i="32" a="1"/>
  <c r="O43" i="32"/>
  <c r="O44" i="32" a="1"/>
  <c r="O44" i="32"/>
  <c r="O45" i="32" a="1"/>
  <c r="O45" i="32" s="1"/>
  <c r="O46" i="32" a="1"/>
  <c r="O46" i="32"/>
  <c r="O47" i="32" a="1"/>
  <c r="O47" i="32"/>
  <c r="O48" i="32" a="1"/>
  <c r="O48" i="32" s="1"/>
  <c r="O49" i="32" a="1"/>
  <c r="O49" i="32" s="1"/>
  <c r="O50" i="32" a="1"/>
  <c r="O50" i="32"/>
  <c r="O51" i="32" a="1"/>
  <c r="O51" i="32"/>
  <c r="O52" i="32" a="1"/>
  <c r="O52" i="32" s="1"/>
  <c r="O53" i="32" a="1"/>
  <c r="O53" i="32"/>
  <c r="O54" i="32" a="1"/>
  <c r="O54" i="32"/>
  <c r="O55" i="32" a="1"/>
  <c r="O55" i="32" s="1"/>
  <c r="O56" i="32" a="1"/>
  <c r="O56" i="32" s="1"/>
  <c r="O57" i="32" a="1"/>
  <c r="O57" i="32"/>
  <c r="O58" i="32" a="1"/>
  <c r="O58" i="32"/>
  <c r="O59" i="32" a="1"/>
  <c r="O59" i="32" s="1"/>
  <c r="O60" i="32" a="1"/>
  <c r="O60" i="32"/>
  <c r="O61" i="32" a="1"/>
  <c r="O61" i="32"/>
  <c r="O62" i="32" a="1"/>
  <c r="O62" i="32" s="1"/>
  <c r="O63" i="32" a="1"/>
  <c r="O63" i="32" s="1"/>
  <c r="O64" i="32" a="1"/>
  <c r="O64" i="32"/>
  <c r="O65" i="32" a="1"/>
  <c r="O65" i="32"/>
  <c r="O66" i="32" a="1"/>
  <c r="O66" i="32" s="1"/>
  <c r="O67" i="32" a="1"/>
  <c r="O67" i="32"/>
  <c r="O68" i="32" a="1"/>
  <c r="O68" i="32"/>
  <c r="O69" i="32" a="1"/>
  <c r="O69" i="32" s="1"/>
  <c r="O70" i="32" a="1"/>
  <c r="O70" i="32" s="1"/>
  <c r="O71" i="32" a="1"/>
  <c r="O71" i="32" s="1"/>
  <c r="O72" i="32" a="1"/>
  <c r="O72" i="32"/>
  <c r="O73" i="32" a="1"/>
  <c r="O73" i="32" s="1"/>
  <c r="O74" i="32" a="1"/>
  <c r="O74" i="32"/>
  <c r="O75" i="32" a="1"/>
  <c r="O75" i="32"/>
  <c r="O76" i="32" a="1"/>
  <c r="O76" i="32" s="1"/>
  <c r="O77" i="32" a="1"/>
  <c r="O77" i="32" s="1"/>
  <c r="O78" i="32" a="1"/>
  <c r="O78" i="32"/>
  <c r="O79" i="32" a="1"/>
  <c r="O79" i="32"/>
  <c r="O80" i="32" a="1"/>
  <c r="O80" i="32" s="1"/>
  <c r="O81" i="32" a="1"/>
  <c r="O81" i="32"/>
  <c r="O82" i="32" a="1"/>
  <c r="O82" i="32"/>
  <c r="O83" i="32" a="1"/>
  <c r="O83" i="32" s="1"/>
  <c r="O84" i="32" a="1"/>
  <c r="O84" i="32" s="1"/>
  <c r="O85" i="32" a="1"/>
  <c r="O85" i="32"/>
  <c r="O86" i="32" a="1"/>
  <c r="O86" i="32" s="1"/>
  <c r="O87" i="32" a="1"/>
  <c r="O87" i="32" s="1"/>
  <c r="O88" i="32" a="1"/>
  <c r="O88" i="32"/>
  <c r="O89" i="32" a="1"/>
  <c r="O89" i="32"/>
  <c r="O90" i="32" a="1"/>
  <c r="O90" i="32" s="1"/>
  <c r="M21" i="32" a="1"/>
  <c r="M21" i="32"/>
  <c r="M22" i="32" a="1"/>
  <c r="M22" i="32" s="1"/>
  <c r="M23" i="32" a="1"/>
  <c r="M23" i="32" s="1"/>
  <c r="M24" i="32" a="1"/>
  <c r="M24" i="32" s="1"/>
  <c r="M25" i="32" a="1"/>
  <c r="M25" i="32" s="1"/>
  <c r="M26" i="32" a="1"/>
  <c r="M26" i="32"/>
  <c r="M27" i="32" a="1"/>
  <c r="M27" i="32"/>
  <c r="M28" i="32" a="1"/>
  <c r="M28" i="32"/>
  <c r="M29" i="32" a="1"/>
  <c r="M29" i="32"/>
  <c r="M30" i="32" a="1"/>
  <c r="M30" i="32" s="1"/>
  <c r="M31" i="32" a="1"/>
  <c r="M31" i="32" s="1"/>
  <c r="M32" i="32" a="1"/>
  <c r="M32" i="32" s="1"/>
  <c r="M33" i="32" a="1"/>
  <c r="M33" i="32"/>
  <c r="M34" i="32" a="1"/>
  <c r="M34" i="32"/>
  <c r="M35" i="32" a="1"/>
  <c r="M35" i="32"/>
  <c r="M36" i="32" a="1"/>
  <c r="M36" i="32"/>
  <c r="M37" i="32" a="1"/>
  <c r="M37" i="32" s="1"/>
  <c r="M38" i="32" a="1"/>
  <c r="M38" i="32" s="1"/>
  <c r="M39" i="32" a="1"/>
  <c r="M39" i="32" s="1"/>
  <c r="M40" i="32" a="1"/>
  <c r="M40" i="32"/>
  <c r="M41" i="32" a="1"/>
  <c r="M41" i="32"/>
  <c r="M42" i="32" a="1"/>
  <c r="M42" i="32"/>
  <c r="M43" i="32" a="1"/>
  <c r="M43" i="32"/>
  <c r="M44" i="32" a="1"/>
  <c r="M44" i="32" s="1"/>
  <c r="M45" i="32" a="1"/>
  <c r="M45" i="32" s="1"/>
  <c r="M46" i="32" a="1"/>
  <c r="M46" i="32" s="1"/>
  <c r="M47" i="32" a="1"/>
  <c r="M47" i="32"/>
  <c r="M48" i="32" a="1"/>
  <c r="M48" i="32"/>
  <c r="M49" i="32" a="1"/>
  <c r="M49" i="32"/>
  <c r="M50" i="32" a="1"/>
  <c r="M50" i="32"/>
  <c r="M51" i="32" a="1"/>
  <c r="M51" i="32" s="1"/>
  <c r="M52" i="32" a="1"/>
  <c r="M52" i="32" s="1"/>
  <c r="M53" i="32" a="1"/>
  <c r="M53" i="32" s="1"/>
  <c r="M54" i="32" a="1"/>
  <c r="M54" i="32"/>
  <c r="M55" i="32" a="1"/>
  <c r="M55" i="32"/>
  <c r="M56" i="32" a="1"/>
  <c r="M56" i="32"/>
  <c r="M57" i="32" a="1"/>
  <c r="M57" i="32"/>
  <c r="M58" i="32" a="1"/>
  <c r="M58" i="32" s="1"/>
  <c r="M59" i="32" a="1"/>
  <c r="M59" i="32" s="1"/>
  <c r="M60" i="32" a="1"/>
  <c r="M60" i="32" s="1"/>
  <c r="M61" i="32" a="1"/>
  <c r="M61" i="32"/>
  <c r="M62" i="32" a="1"/>
  <c r="M62" i="32"/>
  <c r="M63" i="32" a="1"/>
  <c r="M63" i="32"/>
  <c r="M64" i="32" a="1"/>
  <c r="M64" i="32"/>
  <c r="M65" i="32" a="1"/>
  <c r="M65" i="32" s="1"/>
  <c r="M66" i="32" a="1"/>
  <c r="M66" i="32" s="1"/>
  <c r="M67" i="32" a="1"/>
  <c r="M67" i="32" s="1"/>
  <c r="M68" i="32" a="1"/>
  <c r="M68" i="32"/>
  <c r="M69" i="32" a="1"/>
  <c r="M69" i="32"/>
  <c r="M70" i="32" a="1"/>
  <c r="M70" i="32"/>
  <c r="M71" i="32" a="1"/>
  <c r="M71" i="32"/>
  <c r="M72" i="32" a="1"/>
  <c r="M72" i="32" s="1"/>
  <c r="M73" i="32" a="1"/>
  <c r="M73" i="32" s="1"/>
  <c r="M74" i="32" a="1"/>
  <c r="M74" i="32" s="1"/>
  <c r="M75" i="32" a="1"/>
  <c r="M75" i="32"/>
  <c r="M76" i="32" a="1"/>
  <c r="M76" i="32"/>
  <c r="M77" i="32" a="1"/>
  <c r="M77" i="32"/>
  <c r="M78" i="32" a="1"/>
  <c r="M78" i="32"/>
  <c r="M79" i="32" a="1"/>
  <c r="M79" i="32" s="1"/>
  <c r="M80" i="32" a="1"/>
  <c r="M80" i="32" s="1"/>
  <c r="M81" i="32" a="1"/>
  <c r="M81" i="32" s="1"/>
  <c r="M82" i="32" a="1"/>
  <c r="M82" i="32"/>
  <c r="M83" i="32" a="1"/>
  <c r="M83" i="32"/>
  <c r="M84" i="32" a="1"/>
  <c r="M84" i="32" s="1"/>
  <c r="M85" i="32" a="1"/>
  <c r="M85" i="32"/>
  <c r="M86" i="32" a="1"/>
  <c r="M86" i="32" s="1"/>
  <c r="M87" i="32" a="1"/>
  <c r="M87" i="32" s="1"/>
  <c r="M88" i="32" a="1"/>
  <c r="M88" i="32" s="1"/>
  <c r="M89" i="32" a="1"/>
  <c r="M89" i="32"/>
  <c r="M90" i="32" a="1"/>
  <c r="M90" i="32"/>
  <c r="G21" i="32" a="1"/>
  <c r="G21" i="32" s="1"/>
  <c r="G22" i="32" a="1"/>
  <c r="G22" i="32" s="1"/>
  <c r="G23" i="32" a="1"/>
  <c r="G23" i="32"/>
  <c r="G24" i="32" a="1"/>
  <c r="G24" i="32" s="1"/>
  <c r="G25" i="32" a="1"/>
  <c r="G25" i="32" s="1"/>
  <c r="G26" i="32" a="1"/>
  <c r="G26" i="32"/>
  <c r="G27" i="32" a="1"/>
  <c r="G27" i="32" s="1"/>
  <c r="G28" i="32" a="1"/>
  <c r="G28" i="32" s="1"/>
  <c r="G29" i="32" a="1"/>
  <c r="G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c r="G56" i="32" a="1"/>
  <c r="G56" i="32" s="1"/>
  <c r="G57" i="32" a="1"/>
  <c r="G57" i="32"/>
  <c r="G58" i="32" a="1"/>
  <c r="G58" i="32" s="1"/>
  <c r="G59" i="32" a="1"/>
  <c r="G59" i="32" s="1"/>
  <c r="G60" i="32" a="1"/>
  <c r="G60" i="32" s="1"/>
  <c r="G61" i="32" a="1"/>
  <c r="G61" i="32"/>
  <c r="G62" i="32" a="1"/>
  <c r="G62" i="32"/>
  <c r="G63" i="32" a="1"/>
  <c r="G63" i="32" s="1"/>
  <c r="G64" i="32" a="1"/>
  <c r="G64" i="32" s="1"/>
  <c r="G65" i="32" a="1"/>
  <c r="G65" i="32" s="1"/>
  <c r="G66" i="32" a="1"/>
  <c r="G66" i="32" s="1"/>
  <c r="G67" i="32" a="1"/>
  <c r="G67" i="32" s="1"/>
  <c r="G68" i="32" a="1"/>
  <c r="G68" i="32"/>
  <c r="G69" i="32" a="1"/>
  <c r="G69" i="32" s="1"/>
  <c r="G70" i="32" a="1"/>
  <c r="G70" i="32" s="1"/>
  <c r="G71" i="32" a="1"/>
  <c r="G71" i="32" s="1"/>
  <c r="G72" i="32" a="1"/>
  <c r="G72" i="32" s="1"/>
  <c r="G73" i="32" a="1"/>
  <c r="G73" i="32" s="1"/>
  <c r="G74" i="32" a="1"/>
  <c r="G74" i="32" s="1"/>
  <c r="G75" i="32" a="1"/>
  <c r="G75" i="32"/>
  <c r="G76" i="32" a="1"/>
  <c r="G76" i="32" s="1"/>
  <c r="G77" i="32" a="1"/>
  <c r="G77" i="32" s="1"/>
  <c r="G78" i="32" a="1"/>
  <c r="G78" i="32" s="1"/>
  <c r="G79" i="32" a="1"/>
  <c r="G79" i="32" s="1"/>
  <c r="G80" i="32" a="1"/>
  <c r="G80" i="32" s="1"/>
  <c r="G81" i="32" a="1"/>
  <c r="G81" i="32" s="1"/>
  <c r="G82" i="32" a="1"/>
  <c r="G82" i="32"/>
  <c r="G83" i="32" a="1"/>
  <c r="G83" i="32" s="1"/>
  <c r="G84" i="32" a="1"/>
  <c r="G84" i="32" s="1"/>
  <c r="G85" i="32" a="1"/>
  <c r="G85" i="32" s="1"/>
  <c r="G86" i="32" a="1"/>
  <c r="G86" i="32" s="1"/>
  <c r="G87" i="32" a="1"/>
  <c r="G87" i="32" s="1"/>
  <c r="G88" i="32" a="1"/>
  <c r="G88" i="32" s="1"/>
  <c r="G89" i="32" a="1"/>
  <c r="G89" i="32"/>
  <c r="G90" i="32" a="1"/>
  <c r="G90" i="32" s="1"/>
  <c r="G51" i="32" a="1"/>
  <c r="G51" i="32" s="1"/>
  <c r="G52" i="32" a="1"/>
  <c r="G52" i="32" s="1"/>
  <c r="G53" i="32" a="1"/>
  <c r="G53" i="32" s="1"/>
  <c r="G54" i="32" a="1"/>
  <c r="G54" i="32" s="1"/>
  <c r="G55" i="32" a="1"/>
  <c r="G55" i="32" s="1"/>
  <c r="G50" i="32" a="1"/>
  <c r="G50" i="32" s="1"/>
  <c r="G49" i="32" a="1"/>
  <c r="G49" i="32" s="1"/>
  <c r="G47" i="32" a="1"/>
  <c r="G47" i="32" s="1"/>
  <c r="G46" i="32" a="1"/>
  <c r="G46" i="32" s="1"/>
  <c r="G45" i="32" a="1"/>
  <c r="G45" i="32" s="1"/>
  <c r="G44" i="32" a="1"/>
  <c r="G44" i="32" s="1"/>
  <c r="G43" i="32" a="1"/>
  <c r="G43" i="32" s="1"/>
  <c r="G42" i="32" a="1"/>
  <c r="G42" i="32" s="1"/>
  <c r="G41" i="32" a="1"/>
  <c r="G41" i="32" s="1"/>
  <c r="B47" i="98"/>
  <c r="E14" i="85"/>
  <c r="F16" i="85"/>
  <c r="E16" i="85"/>
  <c r="E15" i="85"/>
  <c r="B13" i="103" l="1"/>
  <c r="B12" i="103"/>
  <c r="B13" i="90"/>
  <c r="B12" i="90"/>
  <c r="B13" i="72"/>
  <c r="B12" i="72"/>
  <c r="B13" i="67"/>
  <c r="B12" i="67"/>
  <c r="B13" i="87"/>
  <c r="B12" i="87"/>
  <c r="B13" i="92"/>
  <c r="B12" i="92"/>
  <c r="B13" i="94"/>
  <c r="B12" i="94"/>
  <c r="C115" i="71"/>
  <c r="C114" i="71"/>
  <c r="C113" i="71"/>
  <c r="C112" i="71"/>
  <c r="C111" i="71"/>
  <c r="C110" i="71"/>
  <c r="C109" i="71"/>
  <c r="C108" i="71"/>
  <c r="C137" i="71"/>
  <c r="C136" i="71"/>
  <c r="C135" i="71"/>
  <c r="C134" i="71"/>
  <c r="C133" i="71"/>
  <c r="C132" i="71"/>
  <c r="C131" i="71"/>
  <c r="C130" i="71"/>
  <c r="C129" i="71"/>
  <c r="C127" i="71"/>
  <c r="C126" i="71"/>
  <c r="C125" i="71"/>
  <c r="J21" i="32" l="1"/>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6" i="32"/>
  <c r="J87" i="32"/>
  <c r="J88" i="32"/>
  <c r="J89" i="32"/>
  <c r="J90" i="32"/>
  <c r="N21"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5" i="32"/>
  <c r="N66" i="32"/>
  <c r="N67" i="32"/>
  <c r="N68" i="32"/>
  <c r="N69" i="32"/>
  <c r="N70" i="32"/>
  <c r="N71" i="32"/>
  <c r="N72" i="32"/>
  <c r="N73" i="32"/>
  <c r="N74" i="32"/>
  <c r="N75" i="32"/>
  <c r="N76" i="32"/>
  <c r="N77" i="32"/>
  <c r="N78" i="32"/>
  <c r="N79" i="32"/>
  <c r="N80" i="32"/>
  <c r="N81" i="32"/>
  <c r="N82" i="32"/>
  <c r="N83" i="32"/>
  <c r="N84" i="32"/>
  <c r="N85" i="32"/>
  <c r="N86" i="32"/>
  <c r="N88" i="32"/>
  <c r="N89" i="32"/>
  <c r="L21"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5" i="32"/>
  <c r="L66" i="32"/>
  <c r="L67" i="32"/>
  <c r="L68" i="32"/>
  <c r="L69" i="32"/>
  <c r="L70" i="32"/>
  <c r="L71" i="32"/>
  <c r="L72" i="32"/>
  <c r="L73" i="32"/>
  <c r="L74" i="32"/>
  <c r="L75" i="32"/>
  <c r="L76" i="32"/>
  <c r="L77" i="32"/>
  <c r="L78" i="32"/>
  <c r="L79" i="32"/>
  <c r="L80" i="32"/>
  <c r="L81" i="32"/>
  <c r="L82" i="32"/>
  <c r="L83" i="32"/>
  <c r="L84" i="32"/>
  <c r="L85" i="32"/>
  <c r="L86" i="32"/>
  <c r="L88" i="32"/>
  <c r="L89" i="32"/>
  <c r="I47" i="67"/>
  <c r="I48" i="67"/>
  <c r="I49" i="67"/>
  <c r="I50" i="67"/>
  <c r="I51" i="67"/>
  <c r="I36" i="67"/>
  <c r="I37" i="67"/>
  <c r="I38" i="67"/>
  <c r="I39" i="67"/>
  <c r="I40" i="67"/>
  <c r="I46" i="72"/>
  <c r="I47" i="72"/>
  <c r="I48" i="72"/>
  <c r="I49" i="72"/>
  <c r="I50" i="72"/>
  <c r="I35" i="72"/>
  <c r="I36" i="72"/>
  <c r="I37" i="72"/>
  <c r="I38" i="72"/>
  <c r="I39" i="72"/>
  <c r="J36" i="72"/>
  <c r="C58" i="71"/>
  <c r="C64" i="71"/>
  <c r="C63" i="71"/>
  <c r="C59" i="71"/>
  <c r="C128" i="71" l="1"/>
  <c r="A10" i="100" l="1"/>
  <c r="A9" i="100"/>
  <c r="A8" i="100"/>
  <c r="A7" i="100"/>
  <c r="A6" i="100"/>
  <c r="A4" i="100"/>
  <c r="A5" i="100"/>
  <c r="A241" i="98"/>
  <c r="A240" i="98"/>
  <c r="A239" i="98"/>
  <c r="A238" i="98"/>
  <c r="A237" i="98"/>
  <c r="A236" i="98"/>
  <c r="A235" i="98"/>
  <c r="A234" i="98"/>
  <c r="A233" i="98"/>
  <c r="A232" i="98"/>
  <c r="A231" i="98"/>
  <c r="A230" i="98"/>
  <c r="A229" i="98"/>
  <c r="A228" i="98"/>
  <c r="A227" i="98"/>
  <c r="A226" i="98"/>
  <c r="A225" i="98"/>
  <c r="A224" i="98"/>
  <c r="A223" i="98"/>
  <c r="A222" i="98"/>
  <c r="A221" i="98"/>
  <c r="A220" i="98"/>
  <c r="A219" i="98"/>
  <c r="A218" i="98"/>
  <c r="A217" i="98"/>
  <c r="A216" i="98"/>
  <c r="A215" i="98"/>
  <c r="A214" i="98"/>
  <c r="A213" i="98"/>
  <c r="A212" i="98"/>
  <c r="A211" i="98"/>
  <c r="A210" i="98"/>
  <c r="A209" i="98"/>
  <c r="A208" i="98"/>
  <c r="A207" i="98"/>
  <c r="A206" i="98"/>
  <c r="A205" i="98"/>
  <c r="A204" i="98"/>
  <c r="A203" i="98"/>
  <c r="A202" i="98"/>
  <c r="A201" i="98"/>
  <c r="A200" i="98"/>
  <c r="A199" i="98"/>
  <c r="A198" i="98"/>
  <c r="A197" i="98"/>
  <c r="A196" i="98"/>
  <c r="A195" i="98"/>
  <c r="A194" i="98"/>
  <c r="A193" i="98"/>
  <c r="A192" i="98"/>
  <c r="A191" i="98"/>
  <c r="A190" i="98"/>
  <c r="A189" i="98"/>
  <c r="A188" i="98"/>
  <c r="A187" i="98"/>
  <c r="A186" i="98"/>
  <c r="A185" i="98"/>
  <c r="A184" i="98"/>
  <c r="A183" i="98"/>
  <c r="A182" i="98"/>
  <c r="A181" i="98"/>
  <c r="A180" i="98"/>
  <c r="A179" i="98"/>
  <c r="A178" i="98"/>
  <c r="A177" i="98"/>
  <c r="A176" i="98"/>
  <c r="A175" i="98"/>
  <c r="A174" i="98"/>
  <c r="A173" i="98"/>
  <c r="A172" i="98"/>
  <c r="A171" i="98"/>
  <c r="A170" i="98"/>
  <c r="A169" i="98"/>
  <c r="A168" i="98"/>
  <c r="A167" i="98"/>
  <c r="A166" i="98"/>
  <c r="A165" i="98"/>
  <c r="A164" i="98"/>
  <c r="A163" i="98"/>
  <c r="A162" i="98"/>
  <c r="A161" i="98"/>
  <c r="A160" i="98"/>
  <c r="A159" i="98"/>
  <c r="A158" i="98"/>
  <c r="A157" i="98"/>
  <c r="A156" i="98"/>
  <c r="A155" i="98"/>
  <c r="A154" i="98"/>
  <c r="A153" i="98"/>
  <c r="A152" i="98"/>
  <c r="A151" i="98"/>
  <c r="A150" i="98"/>
  <c r="A149" i="98"/>
  <c r="A148" i="98"/>
  <c r="A147" i="98"/>
  <c r="A146" i="98"/>
  <c r="A145" i="98"/>
  <c r="A144" i="98"/>
  <c r="B140" i="98"/>
  <c r="B139" i="98"/>
  <c r="B138" i="98"/>
  <c r="B137" i="98"/>
  <c r="B136" i="98"/>
  <c r="B135" i="98"/>
  <c r="B134" i="98"/>
  <c r="B133" i="98"/>
  <c r="B132" i="98"/>
  <c r="B131" i="98"/>
  <c r="B130" i="98"/>
  <c r="B129" i="98"/>
  <c r="B128" i="98"/>
  <c r="B127" i="98"/>
  <c r="B126" i="98"/>
  <c r="B125" i="98"/>
  <c r="B124" i="98"/>
  <c r="B123" i="98"/>
  <c r="B122" i="98"/>
  <c r="B121" i="98"/>
  <c r="B120" i="98"/>
  <c r="B119" i="98"/>
  <c r="B118" i="98"/>
  <c r="B117" i="98"/>
  <c r="B116" i="98"/>
  <c r="B115" i="98"/>
  <c r="B114" i="98"/>
  <c r="B113" i="98"/>
  <c r="B112" i="98"/>
  <c r="B111" i="98"/>
  <c r="B110" i="98"/>
  <c r="B109" i="98"/>
  <c r="B108" i="98"/>
  <c r="B107" i="98"/>
  <c r="B106" i="98"/>
  <c r="B105" i="98"/>
  <c r="B104" i="98"/>
  <c r="B103" i="98"/>
  <c r="B102" i="98"/>
  <c r="B101" i="98"/>
  <c r="B100" i="98"/>
  <c r="B99" i="98"/>
  <c r="B98" i="98"/>
  <c r="B97" i="98"/>
  <c r="B96" i="98"/>
  <c r="B95" i="98"/>
  <c r="B94" i="98"/>
  <c r="B93" i="98"/>
  <c r="B92" i="98"/>
  <c r="B91" i="98"/>
  <c r="B90" i="98"/>
  <c r="B89" i="98"/>
  <c r="B88" i="98"/>
  <c r="B87" i="98"/>
  <c r="B86" i="98"/>
  <c r="B85" i="98"/>
  <c r="B84" i="98"/>
  <c r="B83" i="98"/>
  <c r="B82" i="98"/>
  <c r="B81" i="98"/>
  <c r="B80" i="98"/>
  <c r="B79" i="98"/>
  <c r="B78" i="98"/>
  <c r="B77" i="98"/>
  <c r="B76" i="98"/>
  <c r="B75" i="98"/>
  <c r="B74" i="98"/>
  <c r="B73" i="98"/>
  <c r="B72" i="98"/>
  <c r="B71" i="98"/>
  <c r="B70" i="98"/>
  <c r="B69" i="98"/>
  <c r="B68" i="98"/>
  <c r="B67" i="98"/>
  <c r="B66" i="98"/>
  <c r="B65" i="98"/>
  <c r="B64" i="98"/>
  <c r="B63" i="98"/>
  <c r="B62" i="98"/>
  <c r="B61" i="98"/>
  <c r="B60" i="98"/>
  <c r="B59" i="98"/>
  <c r="B58" i="98"/>
  <c r="B57" i="98"/>
  <c r="B56" i="98"/>
  <c r="B55" i="98"/>
  <c r="B54" i="98"/>
  <c r="B53" i="98"/>
  <c r="B52" i="98"/>
  <c r="B51" i="98"/>
  <c r="B50" i="98"/>
  <c r="B49" i="98"/>
  <c r="B48" i="98"/>
  <c r="B46" i="98"/>
  <c r="B45" i="98"/>
  <c r="B44" i="98"/>
  <c r="B43" i="98"/>
  <c r="S21" i="32" a="1"/>
  <c r="S21" i="32" s="1"/>
  <c r="S22" i="32" a="1"/>
  <c r="S22" i="32" s="1"/>
  <c r="S23" i="32" a="1"/>
  <c r="S23" i="32" s="1"/>
  <c r="S24" i="32" a="1"/>
  <c r="S24" i="32" s="1"/>
  <c r="S25" i="32" a="1"/>
  <c r="S25" i="32" s="1"/>
  <c r="S26" i="32" a="1"/>
  <c r="S26" i="32" s="1"/>
  <c r="S27" i="32" a="1"/>
  <c r="S27" i="32" s="1"/>
  <c r="S28" i="32" a="1"/>
  <c r="S28" i="32" s="1"/>
  <c r="S29" i="32" a="1"/>
  <c r="S29" i="32" s="1"/>
  <c r="S30" i="32" a="1"/>
  <c r="S30" i="32" s="1"/>
  <c r="S31" i="32" a="1"/>
  <c r="S31" i="32" s="1"/>
  <c r="S32" i="32" a="1"/>
  <c r="S32" i="32" s="1"/>
  <c r="S33" i="32" a="1"/>
  <c r="S33" i="32" s="1"/>
  <c r="S34" i="32" a="1"/>
  <c r="S34" i="32" s="1"/>
  <c r="S35" i="32" a="1"/>
  <c r="S35" i="32" s="1"/>
  <c r="S36" i="32" a="1"/>
  <c r="S36" i="32" s="1"/>
  <c r="S37" i="32" a="1"/>
  <c r="S37" i="32" s="1"/>
  <c r="S38" i="32" a="1"/>
  <c r="S38" i="32" s="1"/>
  <c r="S39" i="32" a="1"/>
  <c r="S39" i="32" s="1"/>
  <c r="N4" i="53" s="1" a="1"/>
  <c r="N4" i="53" s="1"/>
  <c r="S40" i="32" a="1"/>
  <c r="S40" i="32" s="1"/>
  <c r="S41" i="32" a="1"/>
  <c r="S41" i="32" s="1"/>
  <c r="S42" i="32" a="1"/>
  <c r="S42" i="32" s="1"/>
  <c r="S43" i="32" a="1"/>
  <c r="S43" i="32" s="1"/>
  <c r="S44" i="32" a="1"/>
  <c r="S44" i="32" s="1"/>
  <c r="S45" i="32" a="1"/>
  <c r="S45" i="32" s="1"/>
  <c r="S46" i="32" a="1"/>
  <c r="S46" i="32" s="1"/>
  <c r="S47" i="32" a="1"/>
  <c r="S47" i="32" s="1"/>
  <c r="S48" i="32" a="1"/>
  <c r="S48" i="32" s="1"/>
  <c r="S49" i="32" a="1"/>
  <c r="S49" i="32" s="1"/>
  <c r="S50" i="32" a="1"/>
  <c r="S50" i="32" s="1"/>
  <c r="S51" i="32" a="1"/>
  <c r="S51" i="32" s="1"/>
  <c r="S52" i="32" a="1"/>
  <c r="S52" i="32" s="1"/>
  <c r="S53" i="32" a="1"/>
  <c r="S53" i="32" s="1"/>
  <c r="S54" i="32" a="1"/>
  <c r="S54" i="32" s="1"/>
  <c r="S55" i="32" a="1"/>
  <c r="S55" i="32" s="1"/>
  <c r="S56" i="32" a="1"/>
  <c r="S56" i="32" s="1"/>
  <c r="S57" i="32" a="1"/>
  <c r="S57" i="32" s="1"/>
  <c r="S58" i="32" a="1"/>
  <c r="S58" i="32" s="1"/>
  <c r="S59" i="32" a="1"/>
  <c r="S59" i="32" s="1"/>
  <c r="S60" i="32" a="1"/>
  <c r="S60" i="32" s="1"/>
  <c r="S61" i="32" a="1"/>
  <c r="S61" i="32" s="1"/>
  <c r="S62" i="32" a="1"/>
  <c r="S62" i="32" s="1"/>
  <c r="S63" i="32" a="1"/>
  <c r="S63" i="32" s="1"/>
  <c r="S64" i="32" a="1"/>
  <c r="S64" i="32" s="1"/>
  <c r="S65" i="32" a="1"/>
  <c r="S65" i="32" s="1"/>
  <c r="S66" i="32" a="1"/>
  <c r="S66" i="32" s="1"/>
  <c r="S67" i="32" a="1"/>
  <c r="S67" i="32" s="1"/>
  <c r="S68" i="32" a="1"/>
  <c r="S68" i="32" s="1"/>
  <c r="S69" i="32" a="1"/>
  <c r="S69" i="32" s="1"/>
  <c r="S70" i="32" a="1"/>
  <c r="S70" i="32" s="1"/>
  <c r="S71" i="32" a="1"/>
  <c r="S71" i="32" s="1"/>
  <c r="S72" i="32" a="1"/>
  <c r="S72" i="32" s="1"/>
  <c r="S73" i="32" a="1"/>
  <c r="S73" i="32" s="1"/>
  <c r="S74" i="32" a="1"/>
  <c r="S74" i="32" s="1"/>
  <c r="S75" i="32" a="1"/>
  <c r="S75" i="32" s="1"/>
  <c r="S76" i="32" a="1"/>
  <c r="S76" i="32" s="1"/>
  <c r="S77" i="32" a="1"/>
  <c r="S77" i="32" s="1"/>
  <c r="S78" i="32" a="1"/>
  <c r="S78" i="32" s="1"/>
  <c r="S79" i="32" a="1"/>
  <c r="S79" i="32" s="1"/>
  <c r="S80" i="32" a="1"/>
  <c r="S80" i="32" s="1"/>
  <c r="S81" i="32" a="1"/>
  <c r="S81" i="32" s="1"/>
  <c r="S82" i="32" a="1"/>
  <c r="S82" i="32" s="1"/>
  <c r="S83" i="32" a="1"/>
  <c r="S83" i="32" s="1"/>
  <c r="S84" i="32" a="1"/>
  <c r="S84" i="32" s="1"/>
  <c r="S85" i="32" a="1"/>
  <c r="S85" i="32" s="1"/>
  <c r="S86" i="32" a="1"/>
  <c r="S86" i="32" s="1"/>
  <c r="S87" i="32" a="1"/>
  <c r="S87" i="32" s="1"/>
  <c r="S88" i="32" a="1"/>
  <c r="S88" i="32" s="1"/>
  <c r="S89" i="32" a="1"/>
  <c r="S89" i="32" s="1"/>
  <c r="S90" i="32" a="1"/>
  <c r="S90" i="32" s="1"/>
  <c r="J4" i="53" a="1"/>
  <c r="J4" i="53" s="1"/>
  <c r="R22" i="32"/>
  <c r="R23" i="32"/>
  <c r="R24" i="32"/>
  <c r="R25" i="32"/>
  <c r="R26" i="32"/>
  <c r="R27" i="32"/>
  <c r="R28" i="32"/>
  <c r="R29" i="32"/>
  <c r="R30" i="32"/>
  <c r="R31" i="32"/>
  <c r="R32" i="32"/>
  <c r="R33" i="32"/>
  <c r="R34" i="32"/>
  <c r="R35" i="32"/>
  <c r="R36" i="32"/>
  <c r="R37" i="32"/>
  <c r="R38" i="32"/>
  <c r="R39" i="32"/>
  <c r="R41" i="32"/>
  <c r="R42" i="32"/>
  <c r="R43" i="32"/>
  <c r="R44" i="32"/>
  <c r="R45" i="32"/>
  <c r="R46" i="32"/>
  <c r="R47" i="32"/>
  <c r="R48" i="32"/>
  <c r="R50" i="32"/>
  <c r="R51" i="32"/>
  <c r="R52" i="32"/>
  <c r="R54" i="32"/>
  <c r="R55" i="32"/>
  <c r="R56" i="32"/>
  <c r="R57" i="32"/>
  <c r="R58" i="32"/>
  <c r="R59" i="32"/>
  <c r="R60" i="32"/>
  <c r="R61" i="32"/>
  <c r="R62" i="32"/>
  <c r="R63" i="32"/>
  <c r="R64" i="32"/>
  <c r="R65" i="32"/>
  <c r="R66" i="32"/>
  <c r="R67" i="32"/>
  <c r="R68" i="32"/>
  <c r="R69" i="32"/>
  <c r="R70" i="32"/>
  <c r="R71" i="32"/>
  <c r="R72" i="32"/>
  <c r="R73" i="32"/>
  <c r="R75" i="32"/>
  <c r="R76" i="32"/>
  <c r="R77" i="32"/>
  <c r="R78" i="32"/>
  <c r="R79" i="32"/>
  <c r="R80" i="32"/>
  <c r="R81" i="32"/>
  <c r="R82" i="32"/>
  <c r="R83" i="32"/>
  <c r="R84" i="32"/>
  <c r="R85" i="32"/>
  <c r="R86" i="32"/>
  <c r="R87" i="32"/>
  <c r="R88" i="32"/>
  <c r="R89" i="32"/>
  <c r="R90" i="32"/>
  <c r="R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9" i="32"/>
  <c r="F50" i="32"/>
  <c r="F51" i="32"/>
  <c r="F52" i="32"/>
  <c r="F53" i="32"/>
  <c r="F54" i="32"/>
  <c r="F55"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6" i="32"/>
  <c r="F87" i="32"/>
  <c r="F88" i="32"/>
  <c r="F89" i="32"/>
  <c r="F90" i="32"/>
  <c r="F21" i="32"/>
  <c r="E59" i="103"/>
  <c r="F59" i="103"/>
  <c r="E60" i="103"/>
  <c r="F60" i="103"/>
  <c r="E53" i="103"/>
  <c r="F26" i="103" s="1"/>
  <c r="E52" i="103"/>
  <c r="E47" i="103"/>
  <c r="F46" i="103"/>
  <c r="E46" i="103"/>
  <c r="F45" i="103"/>
  <c r="E45" i="103"/>
  <c r="F44" i="103"/>
  <c r="E44" i="103"/>
  <c r="E18" i="103" s="1"/>
  <c r="F43" i="103"/>
  <c r="E43" i="103"/>
  <c r="E29" i="103" s="1"/>
  <c r="E38" i="103"/>
  <c r="F37" i="103"/>
  <c r="E37" i="103"/>
  <c r="F36" i="103"/>
  <c r="E36" i="103"/>
  <c r="F35" i="103"/>
  <c r="E35" i="103"/>
  <c r="F34" i="103"/>
  <c r="E34" i="103"/>
  <c r="C22" i="102"/>
  <c r="C15" i="102"/>
  <c r="L48" i="102"/>
  <c r="L47" i="102"/>
  <c r="L46" i="102"/>
  <c r="L45" i="102"/>
  <c r="L44" i="102"/>
  <c r="L43" i="102"/>
  <c r="L42" i="102"/>
  <c r="L41" i="102"/>
  <c r="L40" i="102"/>
  <c r="L39" i="102"/>
  <c r="M47" i="67"/>
  <c r="M50" i="67"/>
  <c r="M51" i="67"/>
  <c r="J51" i="67"/>
  <c r="J50" i="67"/>
  <c r="J47" i="67"/>
  <c r="E41" i="92"/>
  <c r="E42" i="92"/>
  <c r="E43" i="92"/>
  <c r="E34" i="94"/>
  <c r="E35" i="94"/>
  <c r="E36" i="94"/>
  <c r="H4" i="53" a="1"/>
  <c r="H4" i="53" s="1"/>
  <c r="Q21" i="32" a="1"/>
  <c r="Q21" i="32" s="1"/>
  <c r="Q22" i="32" a="1"/>
  <c r="Q22" i="32" s="1"/>
  <c r="Q23" i="32" a="1"/>
  <c r="Q23" i="32" s="1"/>
  <c r="Q24" i="32" a="1"/>
  <c r="Q24" i="32" s="1"/>
  <c r="Q25" i="32" a="1"/>
  <c r="Q25" i="32" s="1"/>
  <c r="Q26" i="32" a="1"/>
  <c r="Q26" i="32" s="1"/>
  <c r="Q27" i="32" a="1"/>
  <c r="Q27" i="32" s="1"/>
  <c r="Q28" i="32" a="1"/>
  <c r="Q28" i="32" s="1"/>
  <c r="Q29" i="32" a="1"/>
  <c r="Q29" i="32" s="1"/>
  <c r="Q30" i="32" a="1"/>
  <c r="Q30" i="32" s="1"/>
  <c r="Q31" i="32" a="1"/>
  <c r="Q31" i="32" s="1"/>
  <c r="Q32" i="32" a="1"/>
  <c r="Q32" i="32" s="1"/>
  <c r="Q33" i="32" a="1"/>
  <c r="Q33" i="32" s="1"/>
  <c r="Q34" i="32" a="1"/>
  <c r="Q34" i="32" s="1"/>
  <c r="Q35" i="32" a="1"/>
  <c r="Q35" i="32" s="1"/>
  <c r="Q36" i="32" a="1"/>
  <c r="Q36" i="32" s="1"/>
  <c r="Q37" i="32" a="1"/>
  <c r="Q37" i="32" s="1"/>
  <c r="Q38" i="32" a="1"/>
  <c r="Q38" i="32" s="1"/>
  <c r="Q39" i="32" a="1"/>
  <c r="Q39" i="32" s="1"/>
  <c r="Q40" i="32" a="1"/>
  <c r="Q40" i="32" s="1"/>
  <c r="Q41" i="32" a="1"/>
  <c r="Q41" i="32" s="1"/>
  <c r="Q42" i="32" a="1"/>
  <c r="Q42" i="32" s="1"/>
  <c r="Q43" i="32" a="1"/>
  <c r="Q43" i="32" s="1"/>
  <c r="Q44" i="32" a="1"/>
  <c r="Q44" i="32" s="1"/>
  <c r="Q45" i="32" a="1"/>
  <c r="Q45" i="32" s="1"/>
  <c r="Q46" i="32" a="1"/>
  <c r="Q46" i="32" s="1"/>
  <c r="Q47" i="32" a="1"/>
  <c r="Q47" i="32" s="1"/>
  <c r="Q48" i="32" a="1"/>
  <c r="Q48" i="32" s="1"/>
  <c r="Q49" i="32" a="1"/>
  <c r="Q49" i="32" s="1"/>
  <c r="Q50" i="32" a="1"/>
  <c r="Q50" i="32" s="1"/>
  <c r="Q51" i="32" a="1"/>
  <c r="Q51" i="32" s="1"/>
  <c r="Q52" i="32" a="1"/>
  <c r="Q52" i="32" s="1"/>
  <c r="Q53" i="32" a="1"/>
  <c r="Q53" i="32" s="1"/>
  <c r="Q54" i="32" a="1"/>
  <c r="Q54" i="32" s="1"/>
  <c r="Q55" i="32" a="1"/>
  <c r="Q55" i="32" s="1"/>
  <c r="Q56" i="32" a="1"/>
  <c r="Q56" i="32" s="1"/>
  <c r="Q57" i="32" a="1"/>
  <c r="Q57" i="32" s="1"/>
  <c r="Q58" i="32" a="1"/>
  <c r="Q58" i="32" s="1"/>
  <c r="Q59" i="32" a="1"/>
  <c r="Q59" i="32" s="1"/>
  <c r="Q60" i="32" a="1"/>
  <c r="Q60" i="32" s="1"/>
  <c r="Q61" i="32" a="1"/>
  <c r="Q61" i="32" s="1"/>
  <c r="Q62" i="32" a="1"/>
  <c r="Q62" i="32" s="1"/>
  <c r="Q63" i="32" a="1"/>
  <c r="Q63" i="32" s="1"/>
  <c r="Q64" i="32" a="1"/>
  <c r="Q64" i="32" s="1"/>
  <c r="Q65" i="32" a="1"/>
  <c r="Q65" i="32" s="1"/>
  <c r="Q66" i="32" a="1"/>
  <c r="Q66" i="32" s="1"/>
  <c r="Q67" i="32" a="1"/>
  <c r="Q67" i="32" s="1"/>
  <c r="Q68" i="32" a="1"/>
  <c r="Q68" i="32" s="1"/>
  <c r="Q69" i="32" a="1"/>
  <c r="Q69" i="32" s="1"/>
  <c r="Q70" i="32" a="1"/>
  <c r="Q70" i="32" s="1"/>
  <c r="Q71" i="32" a="1"/>
  <c r="Q71" i="32" s="1"/>
  <c r="Q72" i="32" a="1"/>
  <c r="Q72" i="32" s="1"/>
  <c r="Q73" i="32" a="1"/>
  <c r="Q73" i="32" s="1"/>
  <c r="Q74" i="32" a="1"/>
  <c r="Q74" i="32" s="1"/>
  <c r="Q75" i="32" a="1"/>
  <c r="Q75" i="32" s="1"/>
  <c r="Q76" i="32" a="1"/>
  <c r="Q76" i="32" s="1"/>
  <c r="Q77" i="32" a="1"/>
  <c r="Q77" i="32" s="1"/>
  <c r="Q78" i="32" a="1"/>
  <c r="Q78" i="32" s="1"/>
  <c r="Q79" i="32" a="1"/>
  <c r="Q79" i="32" s="1"/>
  <c r="Q80" i="32" a="1"/>
  <c r="Q80" i="32" s="1"/>
  <c r="Q81" i="32" a="1"/>
  <c r="Q81" i="32" s="1"/>
  <c r="Q82" i="32" a="1"/>
  <c r="Q82" i="32" s="1"/>
  <c r="Q83" i="32" a="1"/>
  <c r="Q83" i="32" s="1"/>
  <c r="Q84" i="32" a="1"/>
  <c r="Q84" i="32" s="1"/>
  <c r="Q85" i="32" a="1"/>
  <c r="Q85" i="32" s="1"/>
  <c r="Q86" i="32" a="1"/>
  <c r="Q86" i="32" s="1"/>
  <c r="Q87" i="32" a="1"/>
  <c r="Q87" i="32" s="1"/>
  <c r="Q88" i="32" a="1"/>
  <c r="Q88" i="32" s="1"/>
  <c r="Q89" i="32" a="1"/>
  <c r="Q89" i="32" s="1"/>
  <c r="Q90" i="32" a="1"/>
  <c r="Q90" i="32" s="1"/>
  <c r="K21" i="32" a="1"/>
  <c r="K21" i="32" s="1"/>
  <c r="K22" i="32" a="1"/>
  <c r="K22" i="32" s="1"/>
  <c r="K23" i="32" a="1"/>
  <c r="K23" i="32" s="1"/>
  <c r="K24" i="32" a="1"/>
  <c r="K24" i="32" s="1"/>
  <c r="K25" i="32" a="1"/>
  <c r="K25" i="32" s="1"/>
  <c r="K26" i="32" a="1"/>
  <c r="K26" i="32" s="1"/>
  <c r="K27" i="32" a="1"/>
  <c r="K27" i="32" s="1"/>
  <c r="K28" i="32" a="1"/>
  <c r="K28" i="32" s="1"/>
  <c r="K29" i="32" a="1"/>
  <c r="K29" i="32" s="1"/>
  <c r="K30" i="32" a="1"/>
  <c r="K30" i="32" s="1"/>
  <c r="K31" i="32" a="1"/>
  <c r="K31" i="32" s="1"/>
  <c r="K32" i="32" a="1"/>
  <c r="K32" i="32" s="1"/>
  <c r="K33" i="32" a="1"/>
  <c r="K33" i="32" s="1"/>
  <c r="K34" i="32" a="1"/>
  <c r="K34" i="32" s="1"/>
  <c r="K35" i="32" a="1"/>
  <c r="K35" i="32" s="1"/>
  <c r="K36" i="32" a="1"/>
  <c r="K36" i="32" s="1"/>
  <c r="K37" i="32" a="1"/>
  <c r="K37" i="32" s="1"/>
  <c r="K38" i="32" a="1"/>
  <c r="K38" i="32" s="1"/>
  <c r="K39" i="32" a="1"/>
  <c r="K39" i="32" s="1"/>
  <c r="K40" i="32" a="1"/>
  <c r="K40" i="32" s="1"/>
  <c r="K41" i="32" a="1"/>
  <c r="K41" i="32" s="1"/>
  <c r="K42" i="32" a="1"/>
  <c r="K42" i="32" s="1"/>
  <c r="K43" i="32" a="1"/>
  <c r="K43" i="32" s="1"/>
  <c r="K44" i="32" a="1"/>
  <c r="K44" i="32" s="1"/>
  <c r="K45" i="32" a="1"/>
  <c r="K45" i="32" s="1"/>
  <c r="K46" i="32" a="1"/>
  <c r="K46" i="32" s="1"/>
  <c r="K47" i="32" a="1"/>
  <c r="K47" i="32" s="1"/>
  <c r="K48" i="32" a="1"/>
  <c r="K48" i="32" s="1"/>
  <c r="K49" i="32" a="1"/>
  <c r="K49" i="32" s="1"/>
  <c r="K50" i="32" a="1"/>
  <c r="K50" i="32" s="1"/>
  <c r="K51" i="32" a="1"/>
  <c r="K51" i="32" s="1"/>
  <c r="K52" i="32" a="1"/>
  <c r="K52" i="32" s="1"/>
  <c r="K53" i="32" a="1"/>
  <c r="K53" i="32" s="1"/>
  <c r="K54" i="32" a="1"/>
  <c r="K54" i="32" s="1"/>
  <c r="K55" i="32" a="1"/>
  <c r="K55" i="32" s="1"/>
  <c r="K56" i="32" a="1"/>
  <c r="K56" i="32" s="1"/>
  <c r="K57" i="32" a="1"/>
  <c r="K57" i="32" s="1"/>
  <c r="K58" i="32" a="1"/>
  <c r="K58" i="32" s="1"/>
  <c r="K59" i="32" a="1"/>
  <c r="K59" i="32" s="1"/>
  <c r="K60" i="32" a="1"/>
  <c r="K60" i="32" s="1"/>
  <c r="K61" i="32" a="1"/>
  <c r="K61" i="32" s="1"/>
  <c r="K62" i="32" a="1"/>
  <c r="K62" i="32" s="1"/>
  <c r="K63" i="32" a="1"/>
  <c r="K63" i="32" s="1"/>
  <c r="K64" i="32" a="1"/>
  <c r="K64" i="32" s="1"/>
  <c r="K65" i="32" a="1"/>
  <c r="K65" i="32" s="1"/>
  <c r="K66" i="32" a="1"/>
  <c r="K66" i="32" s="1"/>
  <c r="K67" i="32" a="1"/>
  <c r="K67" i="32" s="1"/>
  <c r="K68" i="32" a="1"/>
  <c r="K68" i="32" s="1"/>
  <c r="K69" i="32" a="1"/>
  <c r="K69" i="32" s="1"/>
  <c r="K70" i="32" a="1"/>
  <c r="K70" i="32" s="1"/>
  <c r="K71" i="32" a="1"/>
  <c r="K71" i="32" s="1"/>
  <c r="K72" i="32" a="1"/>
  <c r="K72" i="32" s="1"/>
  <c r="K73" i="32" a="1"/>
  <c r="K73" i="32" s="1"/>
  <c r="K74" i="32" a="1"/>
  <c r="K74" i="32" s="1"/>
  <c r="K75" i="32" a="1"/>
  <c r="K75" i="32" s="1"/>
  <c r="K76" i="32" a="1"/>
  <c r="K76" i="32" s="1"/>
  <c r="K77" i="32" a="1"/>
  <c r="K77" i="32" s="1"/>
  <c r="K78" i="32" a="1"/>
  <c r="K78" i="32" s="1"/>
  <c r="K79" i="32" a="1"/>
  <c r="K79" i="32" s="1"/>
  <c r="K80" i="32" a="1"/>
  <c r="K80" i="32" s="1"/>
  <c r="K81" i="32" a="1"/>
  <c r="K81" i="32" s="1"/>
  <c r="K82" i="32" a="1"/>
  <c r="K82" i="32" s="1"/>
  <c r="K83" i="32" a="1"/>
  <c r="K83" i="32" s="1"/>
  <c r="K84" i="32" a="1"/>
  <c r="K84" i="32" s="1"/>
  <c r="K85" i="32" a="1"/>
  <c r="K85" i="32" s="1"/>
  <c r="K86" i="32" a="1"/>
  <c r="K86" i="32" s="1"/>
  <c r="K87" i="32" a="1"/>
  <c r="K87" i="32" s="1"/>
  <c r="K88" i="32" a="1"/>
  <c r="K88" i="32" s="1"/>
  <c r="K89" i="32" a="1"/>
  <c r="K89" i="32" s="1"/>
  <c r="K90" i="32" a="1"/>
  <c r="K90" i="32" s="1"/>
  <c r="I21" i="32" a="1"/>
  <c r="I21" i="32" s="1"/>
  <c r="I22" i="32" a="1"/>
  <c r="I22" i="32" s="1"/>
  <c r="I23" i="32" a="1"/>
  <c r="I23" i="32" s="1"/>
  <c r="I24" i="32" a="1"/>
  <c r="I24" i="32" s="1"/>
  <c r="I25" i="32" a="1"/>
  <c r="I25" i="32" s="1"/>
  <c r="I26" i="32" a="1"/>
  <c r="I26" i="32" s="1"/>
  <c r="I27" i="32" a="1"/>
  <c r="I27" i="32" s="1"/>
  <c r="I28" i="32" a="1"/>
  <c r="I28" i="32" s="1"/>
  <c r="I29" i="32" a="1"/>
  <c r="I29" i="32" s="1"/>
  <c r="I30" i="32" a="1"/>
  <c r="I30" i="32" s="1"/>
  <c r="I31" i="32" a="1"/>
  <c r="I31" i="32" s="1"/>
  <c r="I32" i="32" a="1"/>
  <c r="I32" i="32" s="1"/>
  <c r="I33" i="32" a="1"/>
  <c r="I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s="1"/>
  <c r="I48" i="32" a="1"/>
  <c r="I48" i="32" s="1"/>
  <c r="I49" i="32" a="1"/>
  <c r="I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s="1"/>
  <c r="I63" i="32" a="1"/>
  <c r="I63" i="32" s="1"/>
  <c r="I64" i="32" a="1"/>
  <c r="I64" i="32" s="1"/>
  <c r="I65" i="32" a="1"/>
  <c r="I65" i="32" s="1"/>
  <c r="I66" i="32" a="1"/>
  <c r="I66" i="32" s="1"/>
  <c r="I67" i="32" a="1"/>
  <c r="I67" i="32" s="1"/>
  <c r="I68" i="32" a="1"/>
  <c r="I68" i="32" s="1"/>
  <c r="I69" i="32" a="1"/>
  <c r="I69" i="32" s="1"/>
  <c r="I70" i="32" a="1"/>
  <c r="I70" i="32" s="1"/>
  <c r="I71" i="32" a="1"/>
  <c r="I71" i="32" s="1"/>
  <c r="I72" i="32" a="1"/>
  <c r="I72" i="32" s="1"/>
  <c r="I73" i="32" a="1"/>
  <c r="I73" i="32" s="1"/>
  <c r="I74" i="32" a="1"/>
  <c r="I74" i="32" s="1"/>
  <c r="I75" i="32" a="1"/>
  <c r="I75" i="32" s="1"/>
  <c r="I76" i="32" a="1"/>
  <c r="I76" i="32" s="1"/>
  <c r="I77" i="32" a="1"/>
  <c r="I77" i="32" s="1"/>
  <c r="I78" i="32" a="1"/>
  <c r="I78" i="32" s="1"/>
  <c r="I79" i="32" a="1"/>
  <c r="I79" i="32" s="1"/>
  <c r="I80" i="32" a="1"/>
  <c r="I80" i="32" s="1"/>
  <c r="I81" i="32" a="1"/>
  <c r="I81" i="32" s="1"/>
  <c r="I82" i="32" a="1"/>
  <c r="I82" i="32" s="1"/>
  <c r="I83" i="32" a="1"/>
  <c r="I83" i="32" s="1"/>
  <c r="I84" i="32" a="1"/>
  <c r="I84" i="32" s="1"/>
  <c r="I85" i="32" a="1"/>
  <c r="I85" i="32" s="1"/>
  <c r="I86" i="32" a="1"/>
  <c r="I86" i="32" s="1"/>
  <c r="I87" i="32" a="1"/>
  <c r="I87" i="32" s="1"/>
  <c r="I88" i="32" a="1"/>
  <c r="I88" i="32" s="1"/>
  <c r="I89" i="32" a="1"/>
  <c r="I89" i="32" s="1"/>
  <c r="I90" i="32" a="1"/>
  <c r="I90" i="32" s="1"/>
  <c r="L4" i="53" l="1" a="1"/>
  <c r="L4" i="53" s="1"/>
  <c r="F4" i="53" a="1"/>
  <c r="F4" i="53" s="1"/>
  <c r="D4" i="53" a="1"/>
  <c r="D4" i="53" s="1"/>
  <c r="B4" i="53" a="1"/>
  <c r="B4" i="53" s="1"/>
  <c r="E17" i="103"/>
  <c r="F29" i="103"/>
  <c r="E23" i="103"/>
  <c r="E25" i="103"/>
  <c r="E28" i="103"/>
  <c r="D23" i="103"/>
  <c r="F18" i="103"/>
  <c r="F23" i="103"/>
  <c r="F27" i="103"/>
  <c r="D24" i="103"/>
  <c r="E16" i="103"/>
  <c r="E19" i="103"/>
  <c r="E24" i="103"/>
  <c r="D17" i="103"/>
  <c r="F19" i="103"/>
  <c r="F24" i="103"/>
  <c r="F28" i="103"/>
  <c r="F20" i="103"/>
  <c r="D25" i="103"/>
  <c r="D29" i="103"/>
  <c r="D16" i="103"/>
  <c r="F16" i="103"/>
  <c r="F17" i="103"/>
  <c r="F22" i="103"/>
  <c r="D19" i="103"/>
  <c r="D28" i="103"/>
  <c r="D18" i="103"/>
  <c r="F25" i="103"/>
  <c r="G16" i="103"/>
  <c r="G17" i="103"/>
  <c r="G18" i="103"/>
  <c r="G19" i="103"/>
  <c r="G21" i="103"/>
  <c r="G22" i="103"/>
  <c r="G23" i="103"/>
  <c r="G24" i="103"/>
  <c r="G25" i="103"/>
  <c r="G27" i="103"/>
  <c r="G28" i="103"/>
  <c r="G29" i="103"/>
  <c r="E16" i="92"/>
  <c r="E17" i="92"/>
  <c r="E18" i="92"/>
  <c r="E19" i="92"/>
  <c r="E23" i="92"/>
  <c r="E24" i="92"/>
  <c r="E25" i="92"/>
  <c r="E28" i="92"/>
  <c r="E29" i="92"/>
  <c r="E34" i="90"/>
  <c r="E35" i="90"/>
  <c r="E36" i="90"/>
  <c r="E42" i="87"/>
  <c r="E43" i="87"/>
  <c r="E53" i="92"/>
  <c r="E48" i="92"/>
  <c r="E34" i="92"/>
  <c r="E35" i="92"/>
  <c r="E36" i="92"/>
  <c r="P36" i="84"/>
  <c r="P37" i="84"/>
  <c r="P38" i="84"/>
  <c r="P39" i="84"/>
  <c r="P40" i="84"/>
  <c r="P41" i="84"/>
  <c r="P42" i="84"/>
  <c r="P43" i="84"/>
  <c r="P44" i="84"/>
  <c r="P45" i="84"/>
  <c r="P46" i="84"/>
  <c r="P15" i="84"/>
  <c r="P16" i="84"/>
  <c r="P17" i="84"/>
  <c r="P18" i="84"/>
  <c r="P19" i="84"/>
  <c r="P20" i="84"/>
  <c r="P21" i="84"/>
  <c r="P22" i="84"/>
  <c r="P23" i="84"/>
  <c r="P24" i="84"/>
  <c r="P25" i="84"/>
  <c r="O15" i="78"/>
  <c r="O16" i="78"/>
  <c r="O17" i="78"/>
  <c r="O18" i="78"/>
  <c r="O19" i="78"/>
  <c r="O20" i="78"/>
  <c r="O21" i="78"/>
  <c r="O22" i="78"/>
  <c r="O23" i="78"/>
  <c r="O24" i="78"/>
  <c r="O25" i="78"/>
  <c r="G33" i="83"/>
  <c r="G34" i="83"/>
  <c r="G35" i="83"/>
  <c r="G24" i="83"/>
  <c r="G25" i="83"/>
  <c r="G26" i="83"/>
  <c r="G15" i="83"/>
  <c r="G16" i="83"/>
  <c r="G17" i="83"/>
  <c r="B9" i="100"/>
  <c r="B8" i="100"/>
  <c r="C23" i="103" l="1"/>
  <c r="H32" i="98" s="1"/>
  <c r="C98" i="98" s="1"/>
  <c r="C17" i="103"/>
  <c r="H26" i="98" s="1"/>
  <c r="C56" i="98" s="1"/>
  <c r="C25" i="103"/>
  <c r="H34" i="98" s="1"/>
  <c r="C237" i="98" s="1"/>
  <c r="C24" i="103"/>
  <c r="H33" i="98" s="1"/>
  <c r="C105" i="98" s="1"/>
  <c r="C29" i="103"/>
  <c r="H38" i="98" s="1"/>
  <c r="C140" i="98" s="1"/>
  <c r="C16" i="103"/>
  <c r="H25" i="98" s="1"/>
  <c r="C49" i="98" s="1"/>
  <c r="C19" i="103"/>
  <c r="H28" i="98" s="1"/>
  <c r="C231" i="98" s="1"/>
  <c r="C28" i="103"/>
  <c r="H37" i="98" s="1"/>
  <c r="C240" i="98" s="1"/>
  <c r="C18" i="103"/>
  <c r="H27" i="98" s="1"/>
  <c r="C63" i="98" s="1"/>
  <c r="E16" i="87"/>
  <c r="E17" i="87"/>
  <c r="E18" i="87"/>
  <c r="E19" i="87"/>
  <c r="E20" i="87"/>
  <c r="E21" i="87"/>
  <c r="E22" i="87"/>
  <c r="E23" i="87"/>
  <c r="E24" i="87"/>
  <c r="E25" i="87"/>
  <c r="E26" i="87"/>
  <c r="E28" i="87"/>
  <c r="E29" i="87"/>
  <c r="D16" i="87"/>
  <c r="D17" i="87"/>
  <c r="D18" i="87"/>
  <c r="D19" i="87"/>
  <c r="D20" i="87"/>
  <c r="D21" i="87"/>
  <c r="D22" i="87"/>
  <c r="D23" i="87"/>
  <c r="D24" i="87"/>
  <c r="D25" i="87"/>
  <c r="D26" i="87"/>
  <c r="D28" i="87"/>
  <c r="D29" i="87"/>
  <c r="C235" i="98" l="1"/>
  <c r="C229" i="98"/>
  <c r="C70" i="98"/>
  <c r="C112" i="98"/>
  <c r="C241" i="98"/>
  <c r="C236" i="98"/>
  <c r="C228" i="98"/>
  <c r="C230" i="98"/>
  <c r="C133" i="98"/>
  <c r="P21" i="32" l="1"/>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H22" i="32"/>
  <c r="H23" i="32"/>
  <c r="H24" i="32"/>
  <c r="H25" i="32"/>
  <c r="H26" i="32"/>
  <c r="H27" i="32"/>
  <c r="H28" i="32"/>
  <c r="H29" i="32"/>
  <c r="H30" i="32"/>
  <c r="H31" i="32"/>
  <c r="H32" i="32"/>
  <c r="H33" i="32"/>
  <c r="H34" i="32"/>
  <c r="H35" i="32"/>
  <c r="D35" i="32" s="1"/>
  <c r="H36" i="32"/>
  <c r="H37" i="32"/>
  <c r="H38" i="32"/>
  <c r="H39" i="32"/>
  <c r="H40" i="32"/>
  <c r="H41" i="32"/>
  <c r="H42" i="32"/>
  <c r="H44" i="32"/>
  <c r="H45" i="32"/>
  <c r="H46" i="32"/>
  <c r="H47" i="32"/>
  <c r="H48" i="32"/>
  <c r="H49" i="32"/>
  <c r="H50" i="32"/>
  <c r="H51" i="32"/>
  <c r="H52" i="32"/>
  <c r="H53" i="32"/>
  <c r="H54" i="32"/>
  <c r="H55" i="32"/>
  <c r="H56" i="32"/>
  <c r="H57" i="32"/>
  <c r="H58" i="32"/>
  <c r="H59" i="32"/>
  <c r="H60" i="32"/>
  <c r="H61" i="32"/>
  <c r="H63" i="32"/>
  <c r="H64" i="32"/>
  <c r="H65" i="32"/>
  <c r="H66" i="32"/>
  <c r="H67" i="32"/>
  <c r="H68" i="32"/>
  <c r="H70" i="32"/>
  <c r="H71" i="32"/>
  <c r="H72" i="32"/>
  <c r="H73" i="32"/>
  <c r="H74" i="32"/>
  <c r="H75" i="32"/>
  <c r="H76" i="32"/>
  <c r="H77" i="32"/>
  <c r="H78" i="32"/>
  <c r="H79" i="32"/>
  <c r="H80" i="32"/>
  <c r="H81" i="32"/>
  <c r="H82" i="32"/>
  <c r="H83" i="32"/>
  <c r="H84" i="32"/>
  <c r="H85" i="32"/>
  <c r="H86" i="32"/>
  <c r="H87" i="32"/>
  <c r="H88" i="32"/>
  <c r="H89" i="32"/>
  <c r="H90" i="32"/>
  <c r="H21" i="32"/>
  <c r="D21" i="32" s="1"/>
  <c r="K36" i="72"/>
  <c r="D66" i="32" l="1"/>
  <c r="D25" i="32"/>
  <c r="D51" i="32"/>
  <c r="D52" i="32"/>
  <c r="D26" i="32"/>
  <c r="D55" i="32"/>
  <c r="D37" i="32"/>
  <c r="D23" i="32"/>
  <c r="D81" i="32"/>
  <c r="D80" i="32"/>
  <c r="D42" i="32"/>
  <c r="D50" i="32"/>
  <c r="D79" i="32"/>
  <c r="D65" i="32"/>
  <c r="D28" i="32"/>
  <c r="D36" i="32"/>
  <c r="D57" i="32"/>
  <c r="D27" i="32"/>
  <c r="D71" i="32"/>
  <c r="D38" i="32"/>
  <c r="D24" i="32"/>
  <c r="D39" i="32"/>
  <c r="D68" i="32"/>
  <c r="D82" i="32"/>
  <c r="D78" i="32"/>
  <c r="D33" i="32"/>
  <c r="D61" i="32"/>
  <c r="D89" i="32"/>
  <c r="D75" i="32"/>
  <c r="D59" i="32"/>
  <c r="D45" i="32"/>
  <c r="D30" i="32"/>
  <c r="D76" i="32"/>
  <c r="D34" i="32"/>
  <c r="D47" i="32"/>
  <c r="D58" i="32"/>
  <c r="D29" i="32"/>
  <c r="D86" i="32"/>
  <c r="D72" i="32"/>
  <c r="D41" i="32"/>
  <c r="D32" i="32"/>
  <c r="D46" i="32"/>
  <c r="D77" i="32"/>
  <c r="D83" i="32"/>
  <c r="D63" i="32"/>
  <c r="D60" i="32"/>
  <c r="D31" i="32"/>
  <c r="D88" i="32"/>
  <c r="D44" i="32"/>
  <c r="D73" i="32"/>
  <c r="D84" i="32"/>
  <c r="D70" i="32"/>
  <c r="D67" i="32"/>
  <c r="D23" i="72"/>
  <c r="H25" i="75"/>
  <c r="I25" i="75" s="1"/>
  <c r="H26" i="75"/>
  <c r="I26" i="75" s="1"/>
  <c r="H27" i="75"/>
  <c r="I27" i="75" s="1"/>
  <c r="H28" i="75"/>
  <c r="I28" i="75" s="1"/>
  <c r="H29" i="75"/>
  <c r="I29" i="75" s="1"/>
  <c r="J14" i="75"/>
  <c r="J15" i="75"/>
  <c r="J16" i="75"/>
  <c r="J17" i="75"/>
  <c r="J18" i="75"/>
  <c r="I14" i="75"/>
  <c r="I16" i="75"/>
  <c r="I17" i="75"/>
  <c r="I18" i="75"/>
  <c r="G51" i="84"/>
  <c r="H51" i="84" s="1"/>
  <c r="G52" i="84"/>
  <c r="H52" i="84" s="1"/>
  <c r="G53" i="84"/>
  <c r="H53" i="84" s="1"/>
  <c r="G54" i="84"/>
  <c r="H54" i="84" s="1"/>
  <c r="G55" i="84"/>
  <c r="H55" i="84" s="1"/>
  <c r="G56" i="84"/>
  <c r="H56" i="84" s="1"/>
  <c r="G57" i="84"/>
  <c r="H57" i="84" s="1"/>
  <c r="G58" i="84"/>
  <c r="H58" i="84" s="1"/>
  <c r="G59" i="84"/>
  <c r="H59" i="84" s="1"/>
  <c r="G60" i="84"/>
  <c r="H60" i="84" s="1"/>
  <c r="G61" i="84"/>
  <c r="H61" i="84" s="1"/>
  <c r="D27" i="24"/>
  <c r="D28" i="24"/>
  <c r="D29" i="24"/>
  <c r="D30" i="24"/>
  <c r="D18" i="24"/>
  <c r="D19" i="24"/>
  <c r="D20" i="24"/>
  <c r="G23" i="92"/>
  <c r="F17" i="92"/>
  <c r="J48" i="72" l="1"/>
  <c r="K48" i="72"/>
  <c r="J47" i="72"/>
  <c r="N87" i="32" s="1"/>
  <c r="K47" i="72"/>
  <c r="J46" i="72"/>
  <c r="K46" i="72"/>
  <c r="J50" i="72"/>
  <c r="K50" i="72"/>
  <c r="J49" i="72"/>
  <c r="E17" i="72" s="1"/>
  <c r="K49" i="72"/>
  <c r="F15" i="85"/>
  <c r="G15" i="85" s="1"/>
  <c r="F35" i="90" s="1"/>
  <c r="C41" i="100" s="1"/>
  <c r="F14" i="85"/>
  <c r="G14" i="85" s="1"/>
  <c r="F34" i="90" s="1"/>
  <c r="C40" i="100" s="1"/>
  <c r="O50" i="67"/>
  <c r="N50" i="67"/>
  <c r="L50" i="67"/>
  <c r="K50" i="67"/>
  <c r="O47" i="67"/>
  <c r="L47" i="67"/>
  <c r="L90" i="32" s="1"/>
  <c r="K47" i="67"/>
  <c r="N47" i="67"/>
  <c r="K51" i="67"/>
  <c r="O51" i="67"/>
  <c r="L51" i="67"/>
  <c r="L64" i="32" s="1"/>
  <c r="N51" i="67"/>
  <c r="D12" i="24"/>
  <c r="K17" i="75"/>
  <c r="K15" i="75"/>
  <c r="K16" i="75"/>
  <c r="E22" i="72"/>
  <c r="D16" i="72"/>
  <c r="E16" i="67"/>
  <c r="E24" i="67"/>
  <c r="E18" i="67"/>
  <c r="E26" i="67"/>
  <c r="E19" i="67"/>
  <c r="E27" i="67"/>
  <c r="E20" i="67"/>
  <c r="E22" i="67"/>
  <c r="E21" i="67"/>
  <c r="E23" i="67"/>
  <c r="D13" i="24"/>
  <c r="K14" i="75"/>
  <c r="C22" i="94"/>
  <c r="D23" i="67"/>
  <c r="D18" i="67"/>
  <c r="D22" i="72"/>
  <c r="E21" i="72"/>
  <c r="E20" i="72"/>
  <c r="D21" i="72"/>
  <c r="E27" i="72"/>
  <c r="E19" i="72"/>
  <c r="E29" i="72"/>
  <c r="E28" i="72"/>
  <c r="D28" i="72"/>
  <c r="D20" i="72"/>
  <c r="E26" i="72"/>
  <c r="E18" i="72"/>
  <c r="D27" i="72"/>
  <c r="D19" i="72"/>
  <c r="E25" i="72"/>
  <c r="D26" i="72"/>
  <c r="D18" i="72"/>
  <c r="E24" i="72"/>
  <c r="E16" i="72"/>
  <c r="E23" i="72"/>
  <c r="C23" i="72" s="1"/>
  <c r="F32" i="98" s="1"/>
  <c r="D24" i="72"/>
  <c r="D25" i="67"/>
  <c r="D24" i="67"/>
  <c r="D16" i="67"/>
  <c r="D22" i="67"/>
  <c r="D29" i="67"/>
  <c r="D28" i="67"/>
  <c r="D20" i="67"/>
  <c r="D27" i="67"/>
  <c r="D19" i="67"/>
  <c r="D26" i="67"/>
  <c r="C19" i="90"/>
  <c r="G28" i="98" s="1"/>
  <c r="C26" i="90"/>
  <c r="G35" i="98" s="1"/>
  <c r="C18" i="90"/>
  <c r="G27" i="98" s="1"/>
  <c r="C25" i="90"/>
  <c r="G34" i="98" s="1"/>
  <c r="C17" i="90"/>
  <c r="G26" i="98" s="1"/>
  <c r="C24" i="90"/>
  <c r="G33" i="98" s="1"/>
  <c r="C27" i="90"/>
  <c r="G36" i="98" s="1"/>
  <c r="C23" i="90"/>
  <c r="G32" i="98" s="1"/>
  <c r="C29" i="90"/>
  <c r="G38" i="98" s="1"/>
  <c r="C21" i="90"/>
  <c r="G30" i="98" s="1"/>
  <c r="C16" i="90"/>
  <c r="G25" i="98" s="1"/>
  <c r="C28" i="90"/>
  <c r="G37" i="98" s="1"/>
  <c r="C20" i="90"/>
  <c r="G29" i="98" s="1"/>
  <c r="G20" i="92"/>
  <c r="G21" i="92"/>
  <c r="F27" i="92"/>
  <c r="F18" i="92"/>
  <c r="D29" i="92"/>
  <c r="C21" i="94"/>
  <c r="C30" i="98" s="1"/>
  <c r="C29" i="94"/>
  <c r="C38" i="98" s="1"/>
  <c r="C28" i="94"/>
  <c r="C37" i="98" s="1"/>
  <c r="C27" i="94"/>
  <c r="C36" i="98" s="1"/>
  <c r="C19" i="94"/>
  <c r="C28" i="98" s="1"/>
  <c r="C18" i="94"/>
  <c r="C27" i="98" s="1"/>
  <c r="C17" i="94"/>
  <c r="C26" i="98" s="1"/>
  <c r="C24" i="94"/>
  <c r="C33" i="98" s="1"/>
  <c r="C16" i="94"/>
  <c r="C25" i="98" s="1"/>
  <c r="C26" i="94"/>
  <c r="C35" i="98" s="1"/>
  <c r="C23" i="94"/>
  <c r="C32" i="98" s="1"/>
  <c r="F16" i="92"/>
  <c r="F25" i="92"/>
  <c r="G29" i="92"/>
  <c r="F24" i="92"/>
  <c r="G28" i="92"/>
  <c r="G19" i="92"/>
  <c r="F26" i="92"/>
  <c r="F23" i="92"/>
  <c r="G27" i="92"/>
  <c r="G18" i="92"/>
  <c r="G26" i="92"/>
  <c r="G17" i="92"/>
  <c r="D23" i="92"/>
  <c r="F29" i="92"/>
  <c r="F21" i="92"/>
  <c r="G25" i="92"/>
  <c r="F28" i="92"/>
  <c r="F19" i="92"/>
  <c r="G24" i="92"/>
  <c r="G16" i="85"/>
  <c r="F36" i="90" s="1"/>
  <c r="C42" i="100" s="1"/>
  <c r="K18" i="75"/>
  <c r="G16" i="92"/>
  <c r="F20" i="92"/>
  <c r="D18" i="92"/>
  <c r="D28" i="92"/>
  <c r="D19" i="92"/>
  <c r="D25" i="92"/>
  <c r="D17" i="92"/>
  <c r="D24" i="92"/>
  <c r="D16" i="92"/>
  <c r="E15" i="22" l="1"/>
  <c r="E16" i="22"/>
  <c r="E36" i="22"/>
  <c r="J38" i="72"/>
  <c r="K38" i="72"/>
  <c r="J35" i="72"/>
  <c r="K35" i="72"/>
  <c r="J37" i="72"/>
  <c r="K37" i="72"/>
  <c r="J39" i="72"/>
  <c r="K39" i="72"/>
  <c r="D32" i="102"/>
  <c r="E15" i="102"/>
  <c r="D31" i="102"/>
  <c r="E24" i="102"/>
  <c r="E23" i="102"/>
  <c r="E22" i="102"/>
  <c r="E17" i="102"/>
  <c r="E16" i="102"/>
  <c r="E22" i="22"/>
  <c r="E23" i="22"/>
  <c r="E24" i="22"/>
  <c r="C27" i="72"/>
  <c r="F36" i="98" s="1"/>
  <c r="C211" i="98" s="1"/>
  <c r="E25" i="67"/>
  <c r="C13" i="90"/>
  <c r="C9" i="100" s="1"/>
  <c r="D9" i="100" s="1"/>
  <c r="C20" i="72"/>
  <c r="F29" i="98" s="1"/>
  <c r="C22" i="72"/>
  <c r="F31" i="98" s="1"/>
  <c r="C89" i="98" s="1"/>
  <c r="C31" i="98"/>
  <c r="C86" i="98" s="1"/>
  <c r="C18" i="72"/>
  <c r="F27" i="98" s="1"/>
  <c r="C202" i="98" s="1"/>
  <c r="C26" i="72"/>
  <c r="F35" i="98" s="1"/>
  <c r="C210" i="98" s="1"/>
  <c r="C19" i="72"/>
  <c r="C24" i="72"/>
  <c r="F33" i="98" s="1"/>
  <c r="C103" i="98" s="1"/>
  <c r="C23" i="87"/>
  <c r="C23" i="67"/>
  <c r="C21" i="67"/>
  <c r="C22" i="90"/>
  <c r="P54" i="32"/>
  <c r="D54" i="32" s="1"/>
  <c r="C28" i="72"/>
  <c r="F37" i="98" s="1"/>
  <c r="C21" i="87"/>
  <c r="C29" i="87"/>
  <c r="C19" i="87"/>
  <c r="E17" i="22"/>
  <c r="E30" i="22"/>
  <c r="C18" i="67"/>
  <c r="C16" i="72"/>
  <c r="F25" i="98" s="1"/>
  <c r="E30" i="72"/>
  <c r="C39" i="100" s="1"/>
  <c r="C21" i="72"/>
  <c r="C16" i="67"/>
  <c r="C125" i="98"/>
  <c r="C225" i="98"/>
  <c r="C132" i="98"/>
  <c r="C226" i="98"/>
  <c r="C55" i="98"/>
  <c r="C215" i="98"/>
  <c r="C104" i="98"/>
  <c r="C222" i="98"/>
  <c r="C111" i="98"/>
  <c r="C223" i="98"/>
  <c r="C83" i="98"/>
  <c r="C219" i="98"/>
  <c r="C62" i="98"/>
  <c r="C216" i="98"/>
  <c r="C76" i="98"/>
  <c r="C218" i="98"/>
  <c r="C139" i="98"/>
  <c r="C227" i="98"/>
  <c r="C118" i="98"/>
  <c r="C224" i="98"/>
  <c r="C97" i="98"/>
  <c r="C221" i="98"/>
  <c r="C217" i="98"/>
  <c r="C69" i="98"/>
  <c r="C96" i="98"/>
  <c r="C207" i="98"/>
  <c r="C20" i="67"/>
  <c r="C22" i="67"/>
  <c r="C121" i="98"/>
  <c r="C169" i="98"/>
  <c r="C58" i="98"/>
  <c r="C160" i="98"/>
  <c r="C161" i="98"/>
  <c r="C65" i="98"/>
  <c r="C93" i="98"/>
  <c r="C165" i="98"/>
  <c r="C128" i="98"/>
  <c r="C170" i="98"/>
  <c r="C114" i="98"/>
  <c r="C168" i="98"/>
  <c r="C135" i="98"/>
  <c r="C171" i="98"/>
  <c r="C79" i="98"/>
  <c r="C163" i="98"/>
  <c r="C100" i="98"/>
  <c r="C166" i="98"/>
  <c r="C51" i="98"/>
  <c r="C159" i="98"/>
  <c r="C24" i="67"/>
  <c r="C27" i="67"/>
  <c r="C19" i="67"/>
  <c r="C26" i="67"/>
  <c r="C24" i="87"/>
  <c r="D33" i="98" s="1"/>
  <c r="C22" i="87"/>
  <c r="D31" i="98" s="1"/>
  <c r="C25" i="87"/>
  <c r="D34" i="98" s="1"/>
  <c r="C28" i="87"/>
  <c r="D37" i="98" s="1"/>
  <c r="C17" i="87"/>
  <c r="D26" i="98" s="1"/>
  <c r="C16" i="87"/>
  <c r="C18" i="87"/>
  <c r="D27" i="98" s="1"/>
  <c r="C18" i="92"/>
  <c r="B27" i="98" s="1"/>
  <c r="C29" i="92"/>
  <c r="B38" i="98" s="1"/>
  <c r="C17" i="92"/>
  <c r="B26" i="98" s="1"/>
  <c r="C19" i="92"/>
  <c r="B28" i="98" s="1"/>
  <c r="C64" i="98" s="1"/>
  <c r="C24" i="92"/>
  <c r="B33" i="98" s="1"/>
  <c r="C28" i="92"/>
  <c r="B37" i="98" s="1"/>
  <c r="C25" i="92"/>
  <c r="B34" i="98" s="1"/>
  <c r="C23" i="92"/>
  <c r="B32" i="98" s="1"/>
  <c r="C16" i="92"/>
  <c r="B25" i="98" s="1"/>
  <c r="N64" i="32" l="1"/>
  <c r="D64" i="32" s="1"/>
  <c r="D25" i="72"/>
  <c r="C25" i="72" s="1"/>
  <c r="N22" i="32"/>
  <c r="D17" i="72"/>
  <c r="N90" i="32"/>
  <c r="D90" i="32" s="1"/>
  <c r="C13" i="72"/>
  <c r="C8" i="100" s="1"/>
  <c r="D8" i="100" s="1"/>
  <c r="D29" i="72"/>
  <c r="C29" i="72" s="1"/>
  <c r="F38" i="98" s="1"/>
  <c r="C138" i="98" s="1"/>
  <c r="C124" i="98"/>
  <c r="D25" i="98"/>
  <c r="C172" i="98" s="1"/>
  <c r="C75" i="98"/>
  <c r="C204" i="98"/>
  <c r="C206" i="98"/>
  <c r="C117" i="98"/>
  <c r="C164" i="98"/>
  <c r="C61" i="98"/>
  <c r="F34" i="98"/>
  <c r="C110" i="98" s="1"/>
  <c r="C208" i="98"/>
  <c r="F30" i="98"/>
  <c r="C205" i="98" s="1"/>
  <c r="D28" i="98"/>
  <c r="C175" i="98" s="1"/>
  <c r="G31" i="98"/>
  <c r="C220" i="98" s="1"/>
  <c r="D38" i="98"/>
  <c r="C136" i="98" s="1"/>
  <c r="F28" i="98"/>
  <c r="C203" i="98" s="1"/>
  <c r="D30" i="98"/>
  <c r="C177" i="98" s="1"/>
  <c r="D32" i="98"/>
  <c r="C179" i="98" s="1"/>
  <c r="E31" i="98"/>
  <c r="C88" i="98" s="1"/>
  <c r="E35" i="98"/>
  <c r="C196" i="98" s="1"/>
  <c r="E25" i="98"/>
  <c r="C186" i="98" s="1"/>
  <c r="B6" i="98"/>
  <c r="E28" i="98"/>
  <c r="C189" i="98" s="1"/>
  <c r="B9" i="98"/>
  <c r="E29" i="98"/>
  <c r="C74" i="98" s="1"/>
  <c r="E30" i="98"/>
  <c r="C191" i="98" s="1"/>
  <c r="E36" i="98"/>
  <c r="C123" i="98" s="1"/>
  <c r="E33" i="98"/>
  <c r="C194" i="98" s="1"/>
  <c r="B14" i="98"/>
  <c r="E32" i="98"/>
  <c r="C95" i="98" s="1"/>
  <c r="B13" i="98"/>
  <c r="E27" i="98"/>
  <c r="C188" i="98" s="1"/>
  <c r="B8" i="98"/>
  <c r="C11" i="90"/>
  <c r="C30" i="90"/>
  <c r="C131" i="98"/>
  <c r="C212" i="98"/>
  <c r="C144" i="98"/>
  <c r="C48" i="98"/>
  <c r="C214" i="98"/>
  <c r="C44" i="98"/>
  <c r="C158" i="98"/>
  <c r="C87" i="98"/>
  <c r="C178" i="98"/>
  <c r="C59" i="98"/>
  <c r="C174" i="98"/>
  <c r="C108" i="98"/>
  <c r="C181" i="98"/>
  <c r="C129" i="98"/>
  <c r="C184" i="98"/>
  <c r="C101" i="98"/>
  <c r="C180" i="98"/>
  <c r="C52" i="98"/>
  <c r="C173" i="98"/>
  <c r="C127" i="98"/>
  <c r="C156" i="98"/>
  <c r="C50" i="98"/>
  <c r="C145" i="98"/>
  <c r="C57" i="98"/>
  <c r="C146" i="98"/>
  <c r="R46" i="84"/>
  <c r="R45" i="84"/>
  <c r="R44" i="84"/>
  <c r="R43" i="84"/>
  <c r="R42" i="84"/>
  <c r="R41" i="84"/>
  <c r="Q41" i="84" s="1"/>
  <c r="R40" i="84"/>
  <c r="Q40" i="84" s="1"/>
  <c r="R39" i="84"/>
  <c r="Q39" i="84"/>
  <c r="R38" i="84"/>
  <c r="Q38" i="84"/>
  <c r="R37" i="84"/>
  <c r="Q37" i="84"/>
  <c r="R36" i="84"/>
  <c r="Q36" i="84"/>
  <c r="R25" i="84"/>
  <c r="R24" i="84"/>
  <c r="Q24" i="84" s="1"/>
  <c r="R23" i="84"/>
  <c r="R22" i="84"/>
  <c r="Q22" i="84" s="1"/>
  <c r="R21" i="84"/>
  <c r="R20" i="84"/>
  <c r="Q20" i="84" s="1"/>
  <c r="R19" i="84"/>
  <c r="Q19" i="84" s="1"/>
  <c r="R18" i="84"/>
  <c r="Q18" i="84"/>
  <c r="R17" i="84"/>
  <c r="Q17" i="84" s="1"/>
  <c r="R16" i="84"/>
  <c r="Q16" i="84"/>
  <c r="R15" i="84"/>
  <c r="Q15" i="84"/>
  <c r="C213" i="98" l="1"/>
  <c r="D30" i="72"/>
  <c r="C38" i="100" s="1"/>
  <c r="C17" i="72"/>
  <c r="C209" i="98"/>
  <c r="C94" i="98"/>
  <c r="C66" i="98"/>
  <c r="C68" i="98"/>
  <c r="C90" i="98"/>
  <c r="C192" i="98"/>
  <c r="C82" i="98"/>
  <c r="C185" i="98"/>
  <c r="C116" i="98"/>
  <c r="C80" i="98"/>
  <c r="C193" i="98"/>
  <c r="C102" i="98"/>
  <c r="C46" i="98"/>
  <c r="C197" i="98"/>
  <c r="C67" i="98"/>
  <c r="C60" i="98"/>
  <c r="C81" i="98"/>
  <c r="C190" i="98"/>
  <c r="C45" i="98"/>
  <c r="C43" i="98"/>
  <c r="C47" i="98"/>
  <c r="C200" i="98"/>
  <c r="C106" i="98"/>
  <c r="C153" i="98"/>
  <c r="C134" i="98"/>
  <c r="C157" i="98"/>
  <c r="C147" i="98"/>
  <c r="C92" i="98"/>
  <c r="C151" i="98"/>
  <c r="C99" i="98"/>
  <c r="C152" i="98"/>
  <c r="Q42" i="84"/>
  <c r="Q46" i="84"/>
  <c r="Q43" i="84"/>
  <c r="Q45" i="84"/>
  <c r="Q44" i="84"/>
  <c r="Q25" i="84"/>
  <c r="Q23" i="84"/>
  <c r="Q21" i="84"/>
  <c r="F26" i="98" l="1"/>
  <c r="C30" i="72"/>
  <c r="C11" i="72"/>
  <c r="G107" i="71"/>
  <c r="V47" i="71"/>
  <c r="V48" i="71"/>
  <c r="V49" i="71"/>
  <c r="V50" i="71"/>
  <c r="V51" i="71"/>
  <c r="C54" i="98" l="1"/>
  <c r="C201" i="98"/>
  <c r="I53" i="71"/>
  <c r="C53" i="71" l="1"/>
  <c r="G53" i="71" l="1"/>
  <c r="L53" i="71"/>
  <c r="F53" i="71"/>
  <c r="M52" i="71"/>
  <c r="M51" i="71"/>
  <c r="M50" i="71"/>
  <c r="M49" i="71"/>
  <c r="J52" i="71"/>
  <c r="J51" i="71"/>
  <c r="J50" i="71"/>
  <c r="J49" i="71"/>
  <c r="H52" i="71"/>
  <c r="H51" i="71"/>
  <c r="H50" i="71"/>
  <c r="H49" i="71"/>
  <c r="C52" i="71"/>
  <c r="C51" i="71"/>
  <c r="C50" i="71"/>
  <c r="C49" i="71"/>
  <c r="H53" i="71" l="1"/>
  <c r="M53" i="71"/>
  <c r="J53" i="71"/>
  <c r="M47" i="102" l="1"/>
  <c r="N47" i="102" s="1"/>
  <c r="M39" i="102"/>
  <c r="N39" i="102" s="1"/>
  <c r="M44" i="102"/>
  <c r="N44" i="102" s="1"/>
  <c r="M42" i="102"/>
  <c r="N42" i="102" s="1"/>
  <c r="M41" i="102"/>
  <c r="N41" i="102" s="1"/>
  <c r="M46" i="102"/>
  <c r="N46" i="102" s="1"/>
  <c r="M43" i="102"/>
  <c r="N43" i="102" s="1"/>
  <c r="M48" i="102"/>
  <c r="N48" i="102" s="1"/>
  <c r="M40" i="102"/>
  <c r="N40" i="102" s="1"/>
  <c r="M45" i="102"/>
  <c r="N45" i="102" s="1"/>
  <c r="P20" i="78"/>
  <c r="Q20" i="78" s="1"/>
  <c r="P21" i="78"/>
  <c r="Q21" i="78" s="1"/>
  <c r="P25" i="78"/>
  <c r="Q25" i="78" s="1"/>
  <c r="P22" i="78"/>
  <c r="Q22" i="78" s="1"/>
  <c r="P15" i="78"/>
  <c r="Q15" i="78" s="1"/>
  <c r="P16" i="78"/>
  <c r="Q16" i="78" s="1"/>
  <c r="P18" i="78"/>
  <c r="Q18" i="78" s="1"/>
  <c r="P23" i="78"/>
  <c r="Q23" i="78" s="1"/>
  <c r="P24" i="78"/>
  <c r="Q24" i="78" s="1"/>
  <c r="P17" i="78"/>
  <c r="Q17" i="78" s="1"/>
  <c r="P19" i="78"/>
  <c r="Q19" i="78" s="1"/>
  <c r="S15" i="84"/>
  <c r="T15" i="84" s="1"/>
  <c r="S36" i="84"/>
  <c r="T36" i="84" s="1"/>
  <c r="S22" i="84"/>
  <c r="T22" i="84" s="1"/>
  <c r="S43" i="84"/>
  <c r="T43" i="84" s="1"/>
  <c r="S44" i="84"/>
  <c r="T44" i="84" s="1"/>
  <c r="S17" i="84"/>
  <c r="T17" i="84" s="1"/>
  <c r="S38" i="84"/>
  <c r="T38" i="84" s="1"/>
  <c r="S24" i="84"/>
  <c r="T24" i="84" s="1"/>
  <c r="S42" i="84"/>
  <c r="T42" i="84" s="1"/>
  <c r="S46" i="84"/>
  <c r="T46" i="84" s="1"/>
  <c r="S21" i="84"/>
  <c r="T21" i="84" s="1"/>
  <c r="S16" i="84"/>
  <c r="T16" i="84" s="1"/>
  <c r="S40" i="84"/>
  <c r="T40" i="84" s="1"/>
  <c r="S41" i="84"/>
  <c r="T41" i="84" s="1"/>
  <c r="S25" i="84"/>
  <c r="T25" i="84" s="1"/>
  <c r="S23" i="84"/>
  <c r="T23" i="84" s="1"/>
  <c r="S39" i="84"/>
  <c r="T39" i="84" s="1"/>
  <c r="S37" i="84"/>
  <c r="T37" i="84" s="1"/>
  <c r="S45" i="84"/>
  <c r="T45" i="84" s="1"/>
  <c r="S18" i="84"/>
  <c r="T18" i="84" s="1"/>
  <c r="S19" i="84"/>
  <c r="T19" i="84" s="1"/>
  <c r="S20" i="84"/>
  <c r="T20" i="84" s="1"/>
  <c r="G60" i="103" l="1"/>
  <c r="G59" i="103"/>
  <c r="J38" i="67"/>
  <c r="M38" i="67"/>
  <c r="M49" i="67"/>
  <c r="J49" i="67"/>
  <c r="M36" i="67"/>
  <c r="J36" i="67"/>
  <c r="J48" i="67"/>
  <c r="M37" i="67"/>
  <c r="J37" i="67"/>
  <c r="M48" i="67"/>
  <c r="J39" i="67"/>
  <c r="M39" i="67"/>
  <c r="M40" i="67"/>
  <c r="J40" i="67"/>
  <c r="F42" i="87"/>
  <c r="F43" i="87"/>
  <c r="C27" i="71"/>
  <c r="F36" i="22" s="1"/>
  <c r="C8" i="71"/>
  <c r="D14" i="41"/>
  <c r="O45" i="102" l="1"/>
  <c r="P45" i="102" s="1"/>
  <c r="O41" i="102"/>
  <c r="P41" i="102" s="1"/>
  <c r="O48" i="102"/>
  <c r="P48" i="102" s="1"/>
  <c r="O44" i="102"/>
  <c r="P44" i="102" s="1"/>
  <c r="O40" i="102"/>
  <c r="P40" i="102" s="1"/>
  <c r="O47" i="102"/>
  <c r="P47" i="102" s="1"/>
  <c r="O43" i="102"/>
  <c r="P43" i="102" s="1"/>
  <c r="O39" i="102"/>
  <c r="O46" i="102"/>
  <c r="P46" i="102" s="1"/>
  <c r="O42" i="102"/>
  <c r="P42" i="102" s="1"/>
  <c r="C12" i="87"/>
  <c r="F17" i="102"/>
  <c r="F16" i="102"/>
  <c r="F15" i="102"/>
  <c r="R15" i="78"/>
  <c r="R16" i="78"/>
  <c r="S16" i="78" s="1"/>
  <c r="R17" i="78"/>
  <c r="R18" i="78"/>
  <c r="S18" i="78" s="1"/>
  <c r="R19" i="78"/>
  <c r="S19" i="78" s="1"/>
  <c r="R20" i="78"/>
  <c r="S20" i="78" s="1"/>
  <c r="R21" i="78"/>
  <c r="S21" i="78" s="1"/>
  <c r="R22" i="78"/>
  <c r="S22" i="78" s="1"/>
  <c r="R23" i="78"/>
  <c r="S23" i="78" s="1"/>
  <c r="R24" i="78"/>
  <c r="S24" i="78" s="1"/>
  <c r="R25" i="78"/>
  <c r="S25" i="78" s="1"/>
  <c r="U15" i="84"/>
  <c r="U16" i="84"/>
  <c r="U19" i="84"/>
  <c r="U20" i="84"/>
  <c r="V20" i="84" s="1"/>
  <c r="U22" i="84"/>
  <c r="V22" i="84" s="1"/>
  <c r="U24" i="84"/>
  <c r="V24" i="84" s="1"/>
  <c r="U39" i="84"/>
  <c r="V39" i="84" s="1"/>
  <c r="U40" i="84"/>
  <c r="V40" i="84" s="1"/>
  <c r="U41" i="84"/>
  <c r="V41" i="84" s="1"/>
  <c r="U36" i="84"/>
  <c r="U17" i="84"/>
  <c r="U18" i="84"/>
  <c r="U37" i="84"/>
  <c r="U38" i="84"/>
  <c r="V38" i="84" s="1"/>
  <c r="U21" i="84"/>
  <c r="V21" i="84" s="1"/>
  <c r="U23" i="84"/>
  <c r="V23" i="84" s="1"/>
  <c r="U25" i="84"/>
  <c r="V25" i="84" s="1"/>
  <c r="U44" i="84"/>
  <c r="V44" i="84" s="1"/>
  <c r="U45" i="84"/>
  <c r="V45" i="84" s="1"/>
  <c r="U43" i="84"/>
  <c r="V43" i="84" s="1"/>
  <c r="U46" i="84"/>
  <c r="V46" i="84" s="1"/>
  <c r="U42" i="84"/>
  <c r="V42" i="84" s="1"/>
  <c r="C12" i="67"/>
  <c r="B7" i="100" s="1"/>
  <c r="F16" i="22"/>
  <c r="G16" i="22" s="1"/>
  <c r="F15" i="22"/>
  <c r="F17" i="22"/>
  <c r="G17" i="22" s="1"/>
  <c r="I17" i="22" s="1"/>
  <c r="G36" i="22"/>
  <c r="I36" i="22" s="1"/>
  <c r="H36" i="22"/>
  <c r="J36" i="22" s="1"/>
  <c r="C98" i="71"/>
  <c r="C117" i="71"/>
  <c r="C99" i="71"/>
  <c r="C68" i="71"/>
  <c r="C69" i="71"/>
  <c r="C28" i="71"/>
  <c r="C14" i="71"/>
  <c r="P39" i="102" l="1"/>
  <c r="H60" i="103"/>
  <c r="I60" i="103" s="1"/>
  <c r="H59" i="103"/>
  <c r="I59" i="103" s="1"/>
  <c r="E32" i="102"/>
  <c r="E31" i="102"/>
  <c r="H15" i="102"/>
  <c r="J15" i="102" s="1"/>
  <c r="G15" i="102"/>
  <c r="I15" i="102" s="1"/>
  <c r="G16" i="102"/>
  <c r="I16" i="102" s="1"/>
  <c r="H16" i="102"/>
  <c r="J16" i="102" s="1"/>
  <c r="H17" i="102"/>
  <c r="J17" i="102" s="1"/>
  <c r="H38" i="103" s="1"/>
  <c r="G17" i="102"/>
  <c r="I17" i="102" s="1"/>
  <c r="N39" i="67"/>
  <c r="K39" i="67"/>
  <c r="N40" i="67"/>
  <c r="K40" i="67"/>
  <c r="N37" i="67"/>
  <c r="K37" i="67"/>
  <c r="N49" i="67"/>
  <c r="K49" i="67"/>
  <c r="K48" i="67"/>
  <c r="N48" i="67"/>
  <c r="N38" i="67"/>
  <c r="K38" i="67"/>
  <c r="K36" i="67"/>
  <c r="N36" i="67"/>
  <c r="V37" i="84"/>
  <c r="V18" i="84"/>
  <c r="V17" i="84"/>
  <c r="V36" i="84"/>
  <c r="V19" i="84"/>
  <c r="V16" i="84"/>
  <c r="V15" i="84"/>
  <c r="G42" i="87"/>
  <c r="S17" i="78"/>
  <c r="G43" i="87"/>
  <c r="H43" i="87" s="1"/>
  <c r="E27" i="87" s="1"/>
  <c r="S15" i="78"/>
  <c r="B6" i="100"/>
  <c r="K36" i="22"/>
  <c r="F53" i="92" a="1"/>
  <c r="F53" i="92" s="1"/>
  <c r="C25" i="67"/>
  <c r="H17" i="22"/>
  <c r="J17" i="22" s="1"/>
  <c r="G15" i="22"/>
  <c r="I15" i="22" s="1"/>
  <c r="H15" i="22"/>
  <c r="J15" i="22" s="1"/>
  <c r="I16" i="22"/>
  <c r="H16" i="22"/>
  <c r="J16" i="22" s="1"/>
  <c r="C9" i="71"/>
  <c r="C92" i="71"/>
  <c r="C91" i="71"/>
  <c r="C90" i="71"/>
  <c r="C80" i="71"/>
  <c r="C79" i="71"/>
  <c r="C74" i="71"/>
  <c r="C48" i="71"/>
  <c r="C47" i="71"/>
  <c r="C46" i="71"/>
  <c r="C34" i="71"/>
  <c r="F30" i="22" s="1" a="1"/>
  <c r="F30" i="22" s="1"/>
  <c r="C22" i="71"/>
  <c r="G20" i="103" l="1"/>
  <c r="G26" i="103"/>
  <c r="H25" i="83"/>
  <c r="H34" i="83"/>
  <c r="H35" i="83"/>
  <c r="H26" i="83"/>
  <c r="H33" i="83"/>
  <c r="F31" i="102"/>
  <c r="H31" i="102" s="1"/>
  <c r="G31" i="102"/>
  <c r="I31" i="102" s="1"/>
  <c r="G52" i="103" s="1"/>
  <c r="G32" i="102"/>
  <c r="I32" i="102" s="1"/>
  <c r="G53" i="103" s="1"/>
  <c r="F32" i="102"/>
  <c r="H32" i="102" s="1"/>
  <c r="H42" i="87"/>
  <c r="C13" i="87"/>
  <c r="F24" i="102"/>
  <c r="F23" i="102"/>
  <c r="F22" i="102"/>
  <c r="H37" i="103"/>
  <c r="H36" i="103"/>
  <c r="G36" i="103"/>
  <c r="G37" i="103"/>
  <c r="K16" i="102"/>
  <c r="G34" i="103"/>
  <c r="K15" i="102"/>
  <c r="G35" i="103"/>
  <c r="G38" i="103"/>
  <c r="I38" i="103" s="1"/>
  <c r="K17" i="102"/>
  <c r="H35" i="103"/>
  <c r="H34" i="103"/>
  <c r="H35" i="92"/>
  <c r="G35" i="92"/>
  <c r="G34" i="92"/>
  <c r="D22" i="103"/>
  <c r="H36" i="92"/>
  <c r="G36" i="92"/>
  <c r="D27" i="103"/>
  <c r="H53" i="92" a="1"/>
  <c r="H53" i="92" s="1"/>
  <c r="G22" i="92" s="1"/>
  <c r="G30" i="92" s="1"/>
  <c r="C34" i="100" s="1"/>
  <c r="O37" i="67"/>
  <c r="L37" i="67"/>
  <c r="L40" i="67"/>
  <c r="O40" i="67"/>
  <c r="O49" i="67"/>
  <c r="L49" i="67"/>
  <c r="E17" i="67" s="1"/>
  <c r="O38" i="67"/>
  <c r="L38" i="67"/>
  <c r="L39" i="67"/>
  <c r="O39" i="67"/>
  <c r="L36" i="67"/>
  <c r="O36" i="67"/>
  <c r="O48" i="67"/>
  <c r="L48" i="67"/>
  <c r="L87" i="32" s="1"/>
  <c r="D87" i="32" s="1"/>
  <c r="F22" i="22"/>
  <c r="F23" i="22"/>
  <c r="F24" i="22"/>
  <c r="G24" i="22" s="1"/>
  <c r="I24" i="22" s="1"/>
  <c r="H34" i="92"/>
  <c r="C13" i="67"/>
  <c r="C7" i="100" s="1"/>
  <c r="D7" i="100" s="1"/>
  <c r="C26" i="87"/>
  <c r="D35" i="98" s="1"/>
  <c r="E34" i="98"/>
  <c r="C109" i="98" s="1"/>
  <c r="G53" i="92" a="1"/>
  <c r="G53" i="92" s="1"/>
  <c r="K15" i="22"/>
  <c r="K16" i="22"/>
  <c r="K17" i="22"/>
  <c r="H16" i="83"/>
  <c r="H17" i="83"/>
  <c r="H15" i="83"/>
  <c r="G30" i="22"/>
  <c r="I30" i="22" s="1"/>
  <c r="H30" i="22"/>
  <c r="J30" i="22" s="1"/>
  <c r="L22" i="32" l="1"/>
  <c r="D22" i="32" s="1"/>
  <c r="D27" i="87"/>
  <c r="D30" i="87" s="1"/>
  <c r="C27" i="100" s="1"/>
  <c r="J85" i="32"/>
  <c r="G30" i="103"/>
  <c r="C25" i="100" s="1"/>
  <c r="J33" i="83"/>
  <c r="L33" i="83" s="1"/>
  <c r="I33" i="83"/>
  <c r="K33" i="83" s="1"/>
  <c r="J26" i="83"/>
  <c r="L26" i="83" s="1"/>
  <c r="I26" i="83"/>
  <c r="K26" i="83" s="1"/>
  <c r="I35" i="83"/>
  <c r="K35" i="83" s="1"/>
  <c r="J35" i="83"/>
  <c r="L35" i="83" s="1"/>
  <c r="I34" i="83"/>
  <c r="K34" i="83" s="1"/>
  <c r="J34" i="83"/>
  <c r="L34" i="83" s="1"/>
  <c r="F53" i="103"/>
  <c r="H53" i="103" s="1"/>
  <c r="R49" i="32" s="1"/>
  <c r="D49" i="32" s="1"/>
  <c r="J32" i="102"/>
  <c r="J24" i="83"/>
  <c r="L24" i="83" s="1"/>
  <c r="I24" i="83"/>
  <c r="K24" i="83" s="1"/>
  <c r="F52" i="103"/>
  <c r="H52" i="103" s="1"/>
  <c r="J31" i="102"/>
  <c r="I25" i="83"/>
  <c r="K25" i="83" s="1"/>
  <c r="J25" i="83"/>
  <c r="L25" i="83" s="1"/>
  <c r="I37" i="103"/>
  <c r="H22" i="102"/>
  <c r="J22" i="102" s="1"/>
  <c r="G22" i="102"/>
  <c r="I22" i="102" s="1"/>
  <c r="I36" i="103"/>
  <c r="G23" i="102"/>
  <c r="I23" i="102" s="1"/>
  <c r="H23" i="102"/>
  <c r="J23" i="102" s="1"/>
  <c r="I36" i="92"/>
  <c r="D27" i="92" s="1"/>
  <c r="H24" i="102"/>
  <c r="J24" i="102" s="1"/>
  <c r="H47" i="103" s="1"/>
  <c r="G24" i="102"/>
  <c r="I24" i="102" s="1"/>
  <c r="I35" i="103"/>
  <c r="D21" i="103"/>
  <c r="I34" i="103"/>
  <c r="I35" i="92"/>
  <c r="D21" i="92" s="1"/>
  <c r="I34" i="92"/>
  <c r="C6" i="100"/>
  <c r="D6" i="100" s="1"/>
  <c r="G48" i="92" a="1"/>
  <c r="G48" i="92" s="1"/>
  <c r="H24" i="22"/>
  <c r="J24" i="22" s="1"/>
  <c r="G23" i="22"/>
  <c r="I23" i="22" s="1"/>
  <c r="H23" i="22"/>
  <c r="J23" i="22" s="1"/>
  <c r="G22" i="22"/>
  <c r="I22" i="22" s="1"/>
  <c r="H22" i="22"/>
  <c r="J22" i="22" s="1"/>
  <c r="E28" i="67"/>
  <c r="E29" i="67"/>
  <c r="C29" i="67" s="1"/>
  <c r="D17" i="67"/>
  <c r="C115" i="98"/>
  <c r="C182" i="98"/>
  <c r="E30" i="87"/>
  <c r="C195" i="98"/>
  <c r="K30" i="22"/>
  <c r="F48" i="92" a="1"/>
  <c r="F48" i="92" s="1"/>
  <c r="I17" i="83"/>
  <c r="K17" i="83" s="1"/>
  <c r="J17" i="83"/>
  <c r="L17" i="83" s="1"/>
  <c r="J15" i="83"/>
  <c r="L15" i="83" s="1"/>
  <c r="I15" i="83"/>
  <c r="K15" i="83" s="1"/>
  <c r="J16" i="83"/>
  <c r="L16" i="83" s="1"/>
  <c r="I16" i="83"/>
  <c r="K16" i="83" s="1"/>
  <c r="F34" i="94" l="1"/>
  <c r="F36" i="94"/>
  <c r="F35" i="94"/>
  <c r="C27" i="87"/>
  <c r="D36" i="98" s="1"/>
  <c r="C122" i="98" s="1"/>
  <c r="F21" i="103"/>
  <c r="F30" i="103" s="1"/>
  <c r="C26" i="100" s="1"/>
  <c r="G35" i="94"/>
  <c r="M26" i="83"/>
  <c r="M25" i="83"/>
  <c r="M24" i="83"/>
  <c r="M34" i="83"/>
  <c r="M35" i="83"/>
  <c r="M33" i="83"/>
  <c r="G36" i="94"/>
  <c r="H46" i="103"/>
  <c r="H45" i="103"/>
  <c r="G47" i="103"/>
  <c r="I47" i="103" s="1"/>
  <c r="R53" i="32" s="1"/>
  <c r="D53" i="32" s="1"/>
  <c r="K24" i="102"/>
  <c r="G46" i="103"/>
  <c r="G45" i="103"/>
  <c r="K23" i="102"/>
  <c r="G43" i="103"/>
  <c r="K22" i="102"/>
  <c r="G44" i="103"/>
  <c r="H44" i="103"/>
  <c r="H43" i="103"/>
  <c r="D26" i="103"/>
  <c r="D20" i="103"/>
  <c r="D22" i="92"/>
  <c r="C28" i="100"/>
  <c r="H48" i="92" a="1"/>
  <c r="H48" i="92" s="1"/>
  <c r="F22" i="92" s="1"/>
  <c r="F30" i="92" s="1"/>
  <c r="C33" i="100" s="1"/>
  <c r="H41" i="92"/>
  <c r="E22" i="103"/>
  <c r="C22" i="103" s="1"/>
  <c r="H31" i="98" s="1"/>
  <c r="H42" i="92"/>
  <c r="H43" i="92"/>
  <c r="E27" i="103"/>
  <c r="C27" i="103" s="1"/>
  <c r="H36" i="98" s="1"/>
  <c r="G41" i="92"/>
  <c r="K22" i="22"/>
  <c r="K23" i="22"/>
  <c r="G42" i="92"/>
  <c r="K24" i="22"/>
  <c r="G43" i="92"/>
  <c r="C20" i="87"/>
  <c r="C17" i="67"/>
  <c r="D30" i="67"/>
  <c r="C29" i="100" s="1"/>
  <c r="E38" i="98"/>
  <c r="B19" i="98"/>
  <c r="C28" i="67"/>
  <c r="E30" i="67"/>
  <c r="C30" i="100" s="1"/>
  <c r="D26" i="92"/>
  <c r="D20" i="92"/>
  <c r="M15" i="83"/>
  <c r="M16" i="83"/>
  <c r="M17" i="83"/>
  <c r="C11" i="87" l="1"/>
  <c r="C183" i="98"/>
  <c r="C12" i="94"/>
  <c r="B5" i="100" s="1"/>
  <c r="H36" i="94"/>
  <c r="C37" i="100" s="1"/>
  <c r="H35" i="94"/>
  <c r="C36" i="100" s="1"/>
  <c r="C13" i="94"/>
  <c r="C5" i="100" s="1"/>
  <c r="I45" i="103"/>
  <c r="E21" i="103"/>
  <c r="C21" i="103" s="1"/>
  <c r="H30" i="98" s="1"/>
  <c r="C233" i="98" s="1"/>
  <c r="I43" i="103"/>
  <c r="C12" i="103"/>
  <c r="B10" i="100" s="1" a="1"/>
  <c r="B10" i="100" s="1"/>
  <c r="I46" i="103"/>
  <c r="C13" i="103"/>
  <c r="C10" i="100" s="1" a="1"/>
  <c r="C10" i="100" s="1"/>
  <c r="I44" i="103"/>
  <c r="D30" i="103"/>
  <c r="C23" i="100" s="1"/>
  <c r="I43" i="92"/>
  <c r="E27" i="92" s="1"/>
  <c r="C27" i="92" s="1"/>
  <c r="C13" i="92"/>
  <c r="C4" i="100" s="1"/>
  <c r="I42" i="92"/>
  <c r="E21" i="92" s="1"/>
  <c r="C21" i="92" s="1"/>
  <c r="I41" i="92"/>
  <c r="C12" i="92"/>
  <c r="C126" i="98"/>
  <c r="C239" i="98"/>
  <c r="C91" i="98"/>
  <c r="C234" i="98"/>
  <c r="E20" i="92"/>
  <c r="E37" i="98"/>
  <c r="B18" i="98"/>
  <c r="C137" i="98"/>
  <c r="C199" i="98"/>
  <c r="B7" i="98"/>
  <c r="E26" i="98"/>
  <c r="C30" i="67"/>
  <c r="C11" i="67"/>
  <c r="D29" i="98"/>
  <c r="C30" i="87"/>
  <c r="H34" i="94"/>
  <c r="H43" i="32"/>
  <c r="D43" i="32" s="1"/>
  <c r="D30" i="92"/>
  <c r="C31" i="100" s="1"/>
  <c r="H62" i="32" l="1"/>
  <c r="D62" i="32" s="1"/>
  <c r="C20" i="94"/>
  <c r="C29" i="98" s="1"/>
  <c r="D5" i="100"/>
  <c r="C35" i="100"/>
  <c r="C84" i="98"/>
  <c r="F48" i="32"/>
  <c r="D48" i="32" s="1"/>
  <c r="D10" i="100"/>
  <c r="E20" i="103"/>
  <c r="R40" i="32"/>
  <c r="D40" i="32" s="1"/>
  <c r="E26" i="103"/>
  <c r="C26" i="103" s="1"/>
  <c r="H35" i="98" s="1"/>
  <c r="R74" i="32"/>
  <c r="D74" i="32" s="1"/>
  <c r="F85" i="32"/>
  <c r="D85" i="32" s="1"/>
  <c r="B3" i="32" a="1"/>
  <c r="B3" i="32" s="1"/>
  <c r="B14" i="100" s="1"/>
  <c r="B36" i="98"/>
  <c r="C120" i="98" s="1"/>
  <c r="B17" i="98"/>
  <c r="B2" i="32" a="1"/>
  <c r="B2" i="32" s="1"/>
  <c r="B13" i="100" s="1"/>
  <c r="B4" i="100"/>
  <c r="D4" i="100" s="1"/>
  <c r="E22" i="92"/>
  <c r="C22" i="92" s="1"/>
  <c r="F56" i="32"/>
  <c r="D56" i="32" s="1"/>
  <c r="E26" i="92"/>
  <c r="C26" i="92" s="1"/>
  <c r="B35" i="98" s="1"/>
  <c r="C113" i="98" s="1"/>
  <c r="C20" i="92"/>
  <c r="C25" i="94"/>
  <c r="C34" i="98" s="1"/>
  <c r="C73" i="98"/>
  <c r="C176" i="98"/>
  <c r="C53" i="98"/>
  <c r="C187" i="98"/>
  <c r="C130" i="98"/>
  <c r="C198" i="98"/>
  <c r="H69" i="32"/>
  <c r="D69" i="32" s="1"/>
  <c r="B30" i="98"/>
  <c r="B11" i="98"/>
  <c r="C119" i="98" l="1"/>
  <c r="C238" i="98"/>
  <c r="E30" i="103"/>
  <c r="C24" i="100" s="1"/>
  <c r="C20" i="103"/>
  <c r="C155" i="98"/>
  <c r="B31" i="98"/>
  <c r="B12" i="98"/>
  <c r="C30" i="92"/>
  <c r="C154" i="98"/>
  <c r="B16" i="98"/>
  <c r="E30" i="92"/>
  <c r="C32" i="100" s="1"/>
  <c r="B29" i="98"/>
  <c r="C148" i="98" s="1"/>
  <c r="B10" i="98"/>
  <c r="C11" i="92"/>
  <c r="C30" i="94"/>
  <c r="B15" i="98"/>
  <c r="C11" i="94"/>
  <c r="C167" i="98"/>
  <c r="C107" i="98"/>
  <c r="C72" i="98"/>
  <c r="C162" i="98"/>
  <c r="C78" i="98"/>
  <c r="C149" i="98"/>
  <c r="H29" i="98" l="1"/>
  <c r="C30" i="103"/>
  <c r="C11" i="103"/>
  <c r="B1" i="32" s="1"/>
  <c r="M4" i="53" s="1"/>
  <c r="C71" i="98"/>
  <c r="C85" i="98"/>
  <c r="C150" i="98"/>
  <c r="E65" i="32" l="1"/>
  <c r="E77" i="32"/>
  <c r="E29" i="32"/>
  <c r="E4" i="53"/>
  <c r="E78" i="32"/>
  <c r="E88" i="32"/>
  <c r="C4" i="53"/>
  <c r="E87" i="32"/>
  <c r="E23" i="32"/>
  <c r="E60" i="32"/>
  <c r="E71" i="32"/>
  <c r="E81" i="32"/>
  <c r="E80" i="32"/>
  <c r="E90" i="32"/>
  <c r="E57" i="32"/>
  <c r="E67" i="32"/>
  <c r="A4" i="53"/>
  <c r="E50" i="32"/>
  <c r="E76" i="32"/>
  <c r="E86" i="32"/>
  <c r="C77" i="98"/>
  <c r="C232" i="98"/>
  <c r="E68" i="32"/>
  <c r="E69" i="32"/>
  <c r="E41" i="32"/>
  <c r="I4" i="53"/>
  <c r="E56" i="32"/>
  <c r="E62" i="32"/>
  <c r="E35" i="32"/>
  <c r="E43" i="32"/>
  <c r="E47" i="32"/>
  <c r="E53" i="32"/>
  <c r="E83" i="32"/>
  <c r="E40" i="32"/>
  <c r="E24" i="32"/>
  <c r="E42" i="32"/>
  <c r="E49" i="32"/>
  <c r="E72" i="32"/>
  <c r="E59" i="32"/>
  <c r="E44" i="32"/>
  <c r="G4" i="53"/>
  <c r="E64" i="32"/>
  <c r="E70" i="32"/>
  <c r="E52" i="32"/>
  <c r="E51" i="32"/>
  <c r="E55" i="32"/>
  <c r="E61" i="32"/>
  <c r="E74" i="32"/>
  <c r="E25" i="32"/>
  <c r="E32" i="32"/>
  <c r="E21" i="32"/>
  <c r="E48" i="32"/>
  <c r="E27" i="32"/>
  <c r="E38" i="32"/>
  <c r="E75" i="32"/>
  <c r="E46" i="32"/>
  <c r="E85" i="32"/>
  <c r="E26" i="32"/>
  <c r="E30" i="32"/>
  <c r="E36" i="32"/>
  <c r="E66" i="32"/>
  <c r="E73" i="32"/>
  <c r="E79" i="32"/>
  <c r="E63" i="32"/>
  <c r="E33" i="32"/>
  <c r="K4" i="53"/>
  <c r="E54" i="32"/>
  <c r="E34" i="32"/>
  <c r="E45" i="32"/>
  <c r="E82" i="32"/>
  <c r="B1" i="100"/>
  <c r="E6" i="100" s="1"/>
  <c r="E39" i="32"/>
  <c r="B1" i="98"/>
  <c r="C7" i="98" s="1"/>
  <c r="E31" i="32"/>
  <c r="E37" i="32"/>
  <c r="E84" i="32"/>
  <c r="E89" i="32"/>
  <c r="E22" i="32"/>
  <c r="E28" i="32"/>
  <c r="E58" i="32"/>
  <c r="W5" i="53"/>
  <c r="T5" i="53"/>
  <c r="Q5" i="53"/>
  <c r="E10" i="100" l="1"/>
  <c r="E9" i="100"/>
  <c r="E4" i="100"/>
  <c r="C8" i="98"/>
  <c r="E8" i="100"/>
  <c r="E5" i="100"/>
  <c r="C19" i="98"/>
  <c r="C14" i="98"/>
  <c r="C12" i="98"/>
  <c r="C6" i="98"/>
  <c r="C16" i="98"/>
  <c r="C15" i="98"/>
  <c r="E7" i="100"/>
  <c r="C10" i="98"/>
  <c r="C11" i="98"/>
  <c r="C18" i="98"/>
  <c r="C9" i="98"/>
  <c r="C17" i="98"/>
  <c r="C13"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tc={4EF74D15-CDCD-4C01-8036-640929060D3C}</author>
  </authors>
  <commentList>
    <comment ref="F34" authorId="0" shapeId="0" xr:uid="{4EF74D15-CDCD-4C01-8036-640929060D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à revoir, il me semble qu’il y’a quelque chose qui fait défaut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VALLÉE Nicolas</author>
    <author>tc={9F591E9C-71AA-41FB-BB82-F374962B3E40}</author>
    <author>tc={58F01370-167E-4AC5-B1D1-B4C5FDAE2689}</author>
    <author>tc={99BE2CD0-4DE0-4F16-9E6D-CBCB63178B73}</author>
    <author>tc={B6A5D1F4-E07D-469A-B066-374A1B133E8C}</author>
    <author>tc={4F7745A5-66D6-4EC3-8016-5BE9FA6F6EB7}</author>
    <author>tc={BE9775C5-BD0E-425D-9C76-8B1EAC2D78CC}</author>
    <author>tc={CF415294-951C-4212-A8CC-EDA1EC33B18A}</author>
    <author>tc={3A8C7282-C352-4A1C-9AF9-538D0FA193F2}</author>
  </authors>
  <commentList>
    <comment ref="F7" authorId="0" shapeId="0" xr:uid="{E6C37FBA-B187-4F94-A4CD-67AEF1EE289D}">
      <text>
        <r>
          <rPr>
            <sz val="9"/>
            <color indexed="81"/>
            <rFont val="Tahoma"/>
            <family val="2"/>
          </rPr>
          <t>Si décomposition Fabrication et Utilisation non connue</t>
        </r>
      </text>
    </comment>
    <comment ref="H7" authorId="1" shapeId="0" xr:uid="{9F591E9C-71AA-41FB-BB82-F374962B3E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13" authorId="0" shapeId="0" xr:uid="{EAA8AF00-BE16-416F-8787-1D012DAAD97F}">
      <text>
        <r>
          <rPr>
            <sz val="9"/>
            <color indexed="81"/>
            <rFont val="Tahoma"/>
            <family val="2"/>
          </rPr>
          <t>Si décomposition Fabrication et Utilisation non connue</t>
        </r>
      </text>
    </comment>
    <comment ref="H13" authorId="2" shapeId="0" xr:uid="{58F01370-167E-4AC5-B1D1-B4C5FDAE26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21" authorId="0" shapeId="0" xr:uid="{FCBA574C-3154-44A1-B752-7C4D7AD9E4EA}">
      <text>
        <r>
          <rPr>
            <sz val="9"/>
            <color indexed="81"/>
            <rFont val="Tahoma"/>
            <family val="2"/>
          </rPr>
          <t>Si décomposition Fabrication et Utilisation non connue</t>
        </r>
      </text>
    </comment>
    <comment ref="H21" authorId="3" shapeId="0" xr:uid="{99BE2CD0-4DE0-4F16-9E6D-CBCB63178B7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26" authorId="0" shapeId="0" xr:uid="{A08189BF-9FF2-4C81-B90E-0712222C018D}">
      <text>
        <r>
          <rPr>
            <sz val="9"/>
            <color indexed="81"/>
            <rFont val="Tahoma"/>
            <family val="2"/>
          </rPr>
          <t>Si décomposition Fabrication et Utilisation non connue</t>
        </r>
      </text>
    </comment>
    <comment ref="H26" authorId="4" shapeId="0" xr:uid="{B6A5D1F4-E07D-469A-B066-374A1B133E8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33" authorId="0" shapeId="0" xr:uid="{DB1FBF23-9640-46EA-B709-1AFAF8416C20}">
      <text>
        <r>
          <rPr>
            <sz val="9"/>
            <color indexed="81"/>
            <rFont val="Tahoma"/>
            <family val="2"/>
          </rPr>
          <t>Si décomposition Fabrication et Utilisation non connue</t>
        </r>
      </text>
    </comment>
    <comment ref="H33" authorId="5" shapeId="0" xr:uid="{4F7745A5-66D6-4EC3-8016-5BE9FA6F6EB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K45" authorId="0" shapeId="0" xr:uid="{0D1D4746-4F23-479F-84C9-67E6B0DFB93F}">
      <text>
        <r>
          <rPr>
            <sz val="9"/>
            <color indexed="81"/>
            <rFont val="Tahoma"/>
            <family val="2"/>
          </rPr>
          <t>Si décomposition Fabrication et Utilisation non connue</t>
        </r>
      </text>
    </comment>
    <comment ref="F57" authorId="0" shapeId="0" xr:uid="{5780DAFF-51A9-4758-A2B0-6DA12ECCCF52}">
      <text>
        <r>
          <rPr>
            <sz val="9"/>
            <color indexed="81"/>
            <rFont val="Tahoma"/>
            <family val="2"/>
          </rPr>
          <t>Si décomposition Fabrication et Utilisation non connue</t>
        </r>
      </text>
    </comment>
    <comment ref="H57" authorId="6" shapeId="0" xr:uid="{BE9775C5-BD0E-425D-9C76-8B1EAC2D78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62" authorId="0" shapeId="0" xr:uid="{9FF27C00-4527-4A3B-987F-BC3C3C350384}">
      <text>
        <r>
          <rPr>
            <sz val="9"/>
            <color indexed="81"/>
            <rFont val="Tahoma"/>
            <family val="2"/>
          </rPr>
          <t>Si décomposition Fabrication et Utilisation non connue</t>
        </r>
      </text>
    </comment>
    <comment ref="H62" authorId="7" shapeId="0" xr:uid="{CF415294-951C-4212-A8CC-EDA1EC33B18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67" authorId="0" shapeId="0" xr:uid="{6B0F712E-23C7-43F4-8F1F-74ED6BC3BF41}">
      <text>
        <r>
          <rPr>
            <sz val="9"/>
            <color indexed="81"/>
            <rFont val="Tahoma"/>
            <family val="2"/>
          </rPr>
          <t>Si décomposition Fabrication et Utilisation non connue</t>
        </r>
      </text>
    </comment>
    <comment ref="H67" authorId="8" shapeId="0" xr:uid="{3A8C7282-C352-4A1C-9AF9-538D0FA193F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Utilisation</t>
      </text>
    </comment>
    <comment ref="F73" authorId="0" shapeId="0" xr:uid="{D116E209-95B7-4D70-98E1-C9C66B93D3D3}">
      <text>
        <r>
          <rPr>
            <sz val="9"/>
            <color indexed="81"/>
            <rFont val="Tahoma"/>
            <family val="2"/>
          </rPr>
          <t>Si décomposition Fabrication et Utilisation non connue</t>
        </r>
      </text>
    </comment>
    <comment ref="F78" authorId="0" shapeId="0" xr:uid="{9D018A9B-3006-4C4D-985B-6605831BDE68}">
      <text>
        <r>
          <rPr>
            <sz val="9"/>
            <color indexed="81"/>
            <rFont val="Tahoma"/>
            <family val="2"/>
          </rPr>
          <t>Si décomposition Fabrication et Utilisation non connue</t>
        </r>
      </text>
    </comment>
    <comment ref="F88" authorId="0" shapeId="0" xr:uid="{C467C47D-C1AC-4B84-8DC3-CF14097569F7}">
      <text>
        <r>
          <rPr>
            <sz val="9"/>
            <color indexed="81"/>
            <rFont val="Tahoma"/>
            <family val="2"/>
          </rPr>
          <t>Si décomposition Fabrication et Utilisation non connue</t>
        </r>
      </text>
    </comment>
    <comment ref="F95" authorId="0" shapeId="0" xr:uid="{0A07CE5D-A658-4519-85E8-D76A1F7AD790}">
      <text>
        <r>
          <rPr>
            <sz val="9"/>
            <color indexed="81"/>
            <rFont val="Tahoma"/>
            <family val="2"/>
          </rPr>
          <t>Si décomposition Fabrication et Utilisation non connue</t>
        </r>
      </text>
    </comment>
    <comment ref="F106" authorId="0" shapeId="0" xr:uid="{09ABF3DB-803B-484C-98D8-BEE57DCF927A}">
      <text>
        <r>
          <rPr>
            <sz val="9"/>
            <color indexed="81"/>
            <rFont val="Tahoma"/>
            <family val="2"/>
          </rPr>
          <t>Si décomposition Fabrication et Utilisation non connue</t>
        </r>
      </text>
    </comment>
    <comment ref="F124" authorId="0" shapeId="0" xr:uid="{7CFF8EB8-D144-4748-ACFD-97F8B1D6EA92}">
      <text>
        <r>
          <rPr>
            <sz val="9"/>
            <color indexed="81"/>
            <rFont val="Tahoma"/>
            <family val="2"/>
          </rPr>
          <t>Si décomposition Fabrication et Utilisation non connue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<sst xmlns="http://schemas.openxmlformats.org/spreadsheetml/2006/main" count="2194" uniqueCount="828">
  <si>
    <t>APP</t>
  </si>
  <si>
    <t>ASSET</t>
  </si>
  <si>
    <t>CLOUD</t>
  </si>
  <si>
    <t>DATA</t>
  </si>
  <si>
    <t>DET</t>
  </si>
  <si>
    <t>ENDPT</t>
  </si>
  <si>
    <t>GOV</t>
  </si>
  <si>
    <t>IAM</t>
  </si>
  <si>
    <t>INC</t>
  </si>
  <si>
    <t>NTW</t>
  </si>
  <si>
    <t>OPS</t>
  </si>
  <si>
    <t>RES</t>
  </si>
  <si>
    <t>RISK</t>
  </si>
  <si>
    <t>TP</t>
  </si>
  <si>
    <t>APP_01</t>
  </si>
  <si>
    <t>ASSET_01</t>
  </si>
  <si>
    <t>ASSET_02</t>
  </si>
  <si>
    <t>ASSET_03</t>
  </si>
  <si>
    <t>CLOUD_01</t>
  </si>
  <si>
    <t>CLOUD_02</t>
  </si>
  <si>
    <t>CLOUD_03</t>
  </si>
  <si>
    <t>CLOUD_04</t>
  </si>
  <si>
    <t>DATA_01</t>
  </si>
  <si>
    <t>DATA_02</t>
  </si>
  <si>
    <t>DATA_03</t>
  </si>
  <si>
    <t>DATA_04</t>
  </si>
  <si>
    <t>DATA_05</t>
  </si>
  <si>
    <t>DATA_06</t>
  </si>
  <si>
    <t>DATA_07</t>
  </si>
  <si>
    <t>DATA_08</t>
  </si>
  <si>
    <t>DATA_09</t>
  </si>
  <si>
    <t>DET_01</t>
  </si>
  <si>
    <t>DET_02</t>
  </si>
  <si>
    <t>DET_03</t>
  </si>
  <si>
    <t>DET_04</t>
  </si>
  <si>
    <t>DET_05</t>
  </si>
  <si>
    <t>DET_06</t>
  </si>
  <si>
    <t>DET_07</t>
  </si>
  <si>
    <t>DET_08</t>
  </si>
  <si>
    <t>ENDPT_01</t>
  </si>
  <si>
    <t>ENDPT_02</t>
  </si>
  <si>
    <t>ENDPT_03</t>
  </si>
  <si>
    <t>ENDPT_04</t>
  </si>
  <si>
    <t>ENDPT_05</t>
  </si>
  <si>
    <t>ENDPT_06</t>
  </si>
  <si>
    <t>ENDPT_07</t>
  </si>
  <si>
    <t>ENDPT_08</t>
  </si>
  <si>
    <t>GOV_01</t>
  </si>
  <si>
    <t>GOV_02</t>
  </si>
  <si>
    <t>GOV_03</t>
  </si>
  <si>
    <t>IAM_01</t>
  </si>
  <si>
    <t>IAM_02</t>
  </si>
  <si>
    <t>INC_01</t>
  </si>
  <si>
    <t>INC_02</t>
  </si>
  <si>
    <t>INC_03</t>
  </si>
  <si>
    <t>NTW_01</t>
  </si>
  <si>
    <t>NTW_02</t>
  </si>
  <si>
    <t>NTW_03</t>
  </si>
  <si>
    <t>NTW_04</t>
  </si>
  <si>
    <t>NTW_05</t>
  </si>
  <si>
    <t>NTW_06</t>
  </si>
  <si>
    <t>NTW_07</t>
  </si>
  <si>
    <t>NTW_08</t>
  </si>
  <si>
    <t>NTW_09</t>
  </si>
  <si>
    <t>NTW_10</t>
  </si>
  <si>
    <t>NTW_11</t>
  </si>
  <si>
    <t>NTW_12</t>
  </si>
  <si>
    <t>OPS_01</t>
  </si>
  <si>
    <t>OPS_02</t>
  </si>
  <si>
    <t>OPS_03</t>
  </si>
  <si>
    <t>OPS_04</t>
  </si>
  <si>
    <t>OPS_05</t>
  </si>
  <si>
    <t>OPS_06</t>
  </si>
  <si>
    <t>OPS_07</t>
  </si>
  <si>
    <t>OPS_08</t>
  </si>
  <si>
    <t>OPS_09</t>
  </si>
  <si>
    <t>OPS_10</t>
  </si>
  <si>
    <t>OPS_11</t>
  </si>
  <si>
    <t>RES_01</t>
  </si>
  <si>
    <t>RISK_01</t>
  </si>
  <si>
    <t>RISK_02</t>
  </si>
  <si>
    <t>RISK_03</t>
  </si>
  <si>
    <t>RISK_04</t>
  </si>
  <si>
    <t>TP_01</t>
  </si>
  <si>
    <t>Angola</t>
  </si>
  <si>
    <t>Bangladesh</t>
  </si>
  <si>
    <t>Botswana</t>
  </si>
  <si>
    <t>Canada</t>
  </si>
  <si>
    <t>Congo</t>
  </si>
  <si>
    <t>Costa Rica</t>
  </si>
  <si>
    <t>Cuba</t>
  </si>
  <si>
    <t>El Salvador</t>
  </si>
  <si>
    <t>France</t>
  </si>
  <si>
    <t>Gabon</t>
  </si>
  <si>
    <t>Ghana</t>
  </si>
  <si>
    <t>Guadeloupe</t>
  </si>
  <si>
    <t>Guatemala</t>
  </si>
  <si>
    <t>Honduras</t>
  </si>
  <si>
    <t>Hong Kong</t>
  </si>
  <si>
    <t>Ireland</t>
  </si>
  <si>
    <t>Kazakhstan</t>
  </si>
  <si>
    <t>Kenya</t>
  </si>
  <si>
    <t>Martinique</t>
  </si>
  <si>
    <t>Mayotte</t>
  </si>
  <si>
    <t>Myanmar</t>
  </si>
  <si>
    <t>Nicaragua</t>
  </si>
  <si>
    <t>Oman</t>
  </si>
  <si>
    <t>Pakistan</t>
  </si>
  <si>
    <t>Panama</t>
  </si>
  <si>
    <t>Paraguay</t>
  </si>
  <si>
    <t>Philippines</t>
  </si>
  <si>
    <t>Portugal</t>
  </si>
  <si>
    <t>Qatar</t>
  </si>
  <si>
    <t>Sri Lanka</t>
  </si>
  <si>
    <t>Togo</t>
  </si>
  <si>
    <t>Ukraine</t>
  </si>
  <si>
    <t>Uruguay</t>
  </si>
  <si>
    <t>Smartphones</t>
  </si>
  <si>
    <t>PUE</t>
  </si>
  <si>
    <t>RAM (GB)</t>
  </si>
  <si>
    <t>SSD (GB)</t>
  </si>
  <si>
    <t>DC 1</t>
  </si>
  <si>
    <t>ID1</t>
  </si>
  <si>
    <t>Name1</t>
  </si>
  <si>
    <t>ID2</t>
  </si>
  <si>
    <t>Name2</t>
  </si>
  <si>
    <t>ID3</t>
  </si>
  <si>
    <t>ID4</t>
  </si>
  <si>
    <t>ID5</t>
  </si>
  <si>
    <t>DC 2</t>
  </si>
  <si>
    <t>ID40</t>
  </si>
  <si>
    <t>ID26</t>
  </si>
  <si>
    <t>ID34</t>
  </si>
  <si>
    <t>ID35</t>
  </si>
  <si>
    <t>ID25</t>
  </si>
  <si>
    <t>ID41</t>
  </si>
  <si>
    <t>ID42</t>
  </si>
  <si>
    <t>ID43</t>
  </si>
  <si>
    <t>ID44</t>
  </si>
  <si>
    <t>ID45</t>
  </si>
  <si>
    <t>ID46</t>
  </si>
  <si>
    <t>ID47</t>
  </si>
  <si>
    <t>ID48</t>
  </si>
  <si>
    <t>ID49</t>
  </si>
  <si>
    <t>ID50</t>
  </si>
  <si>
    <t>Description</t>
  </si>
  <si>
    <t>Train</t>
  </si>
  <si>
    <t>Total</t>
  </si>
  <si>
    <t>Test 1</t>
  </si>
  <si>
    <t>SID1</t>
  </si>
  <si>
    <t>SID2</t>
  </si>
  <si>
    <t>SID3</t>
  </si>
  <si>
    <t>SID4</t>
  </si>
  <si>
    <t>SID5</t>
  </si>
  <si>
    <t>VDI</t>
  </si>
  <si>
    <t>Source</t>
  </si>
  <si>
    <t>ADEME (2017)</t>
  </si>
  <si>
    <t>Base Empreinte</t>
  </si>
  <si>
    <t>Pays</t>
  </si>
  <si>
    <t>kgCO2e / kWh</t>
  </si>
  <si>
    <t>Brunei Darussalam</t>
  </si>
  <si>
    <t>Gibraltar</t>
  </si>
  <si>
    <t>Kosovo</t>
  </si>
  <si>
    <t>Luxembourg</t>
  </si>
  <si>
    <t>VDIs</t>
  </si>
  <si>
    <t xml:space="preserve">Smartphones  </t>
  </si>
  <si>
    <t>Type</t>
  </si>
  <si>
    <t>ADEME 2020, Base carbone</t>
  </si>
  <si>
    <t>N/A</t>
  </si>
  <si>
    <t>kgCO2e</t>
  </si>
  <si>
    <t>kgCO2e/GB</t>
  </si>
  <si>
    <t>https://datavizta.boavizta.org/serversimpact ; Average on SSD kgCO2e / GB</t>
  </si>
  <si>
    <t>HPE SY 480 Gen10</t>
  </si>
  <si>
    <t>Link</t>
  </si>
  <si>
    <t>PowerEdge R740XD</t>
  </si>
  <si>
    <t>PowerEdge R640</t>
  </si>
  <si>
    <t>PowerEdge R740</t>
  </si>
  <si>
    <t>Racks</t>
  </si>
  <si>
    <t>ADEME 2014, Base carbone</t>
  </si>
  <si>
    <t>https://www.arcep.fr/uploads/tx_gspublication/etude-numerique-environnement-ademe-arcep-volet02_janv2022.pdf</t>
  </si>
  <si>
    <t>Services</t>
  </si>
  <si>
    <t>Service</t>
  </si>
  <si>
    <t>Azure/AWS</t>
  </si>
  <si>
    <t>CDP 2021</t>
  </si>
  <si>
    <t>IaaS</t>
  </si>
  <si>
    <t>ADEME 2022, Base carbone</t>
  </si>
  <si>
    <t>#</t>
  </si>
  <si>
    <t>Total (tCO2e)</t>
  </si>
  <si>
    <t>tCO2e</t>
  </si>
  <si>
    <t>%</t>
  </si>
  <si>
    <t>Proxy/Reverse-proxy</t>
  </si>
  <si>
    <t>IPS/IDS</t>
  </si>
  <si>
    <t>Actions</t>
  </si>
  <si>
    <t>Sources</t>
  </si>
  <si>
    <t>Action X</t>
  </si>
  <si>
    <t>X%</t>
  </si>
  <si>
    <t>Action Y</t>
  </si>
  <si>
    <t>Source X</t>
  </si>
  <si>
    <t>ADEME 2023, Base carbone</t>
  </si>
  <si>
    <t xml:space="preserve"> </t>
  </si>
  <si>
    <t xml:space="preserve">Equipement porté par une personne devant ses yeux, lui permettant de visionner des images et d'entendre des sons générés par un équipement numérique tiers ou par le casque lui-même, ainsi que d'accéder à des fonctions de contrôle.
Deux manettes incluses dans le périmètre. </t>
  </si>
  <si>
    <t>https://base-empreinte.ademe.fr/donnees/jeu-donnees</t>
  </si>
  <si>
    <t>Apptest 1</t>
  </si>
  <si>
    <t>Apptest 2</t>
  </si>
  <si>
    <t>Apptest 3</t>
  </si>
  <si>
    <t>Apptest 4</t>
  </si>
  <si>
    <t>Apptest 5</t>
  </si>
  <si>
    <t>Boavizta / Datavizta</t>
  </si>
  <si>
    <t>DC1</t>
  </si>
  <si>
    <t>DC2</t>
  </si>
  <si>
    <t>SID6</t>
  </si>
  <si>
    <t>SID7</t>
  </si>
  <si>
    <t>SID8</t>
  </si>
  <si>
    <t>SID9</t>
  </si>
  <si>
    <t>SID10</t>
  </si>
  <si>
    <t xml:space="preserve">Légende des couleurs des cellules </t>
  </si>
  <si>
    <t xml:space="preserve">Cellules de titre </t>
  </si>
  <si>
    <t>Cellules obligatoires</t>
  </si>
  <si>
    <t>Cellules optionnelles</t>
  </si>
  <si>
    <t>Il vous est recommandé d'avoir des cellules</t>
  </si>
  <si>
    <r>
      <t xml:space="preserve">Il vous est recommandé d'avoir des cellules
</t>
    </r>
    <r>
      <rPr>
        <sz val="11"/>
        <color theme="5"/>
        <rFont val="Arial"/>
        <family val="2"/>
        <scheme val="minor"/>
      </rPr>
      <t>(Les données de l'exemple sont écrites en orange)</t>
    </r>
  </si>
  <si>
    <r>
      <t xml:space="preserve">Cellules obligatoires
</t>
    </r>
    <r>
      <rPr>
        <sz val="11"/>
        <color theme="5"/>
        <rFont val="Arial"/>
        <family val="2"/>
        <scheme val="minor"/>
      </rPr>
      <t>(Les données de l'exemple sont écrites en orange)</t>
    </r>
  </si>
  <si>
    <r>
      <t xml:space="preserve">Cellules optionnelles
</t>
    </r>
    <r>
      <rPr>
        <sz val="11"/>
        <color theme="5"/>
        <rFont val="Arial"/>
        <family val="2"/>
        <scheme val="minor"/>
      </rPr>
      <t>(Les données de l'exemple sont écrites en orange)</t>
    </r>
  </si>
  <si>
    <t>Cellules à ne surtout pas modifier</t>
  </si>
  <si>
    <r>
      <t xml:space="preserve">Cellules à ne surtout pas modifier
</t>
    </r>
    <r>
      <rPr>
        <sz val="11"/>
        <color theme="5"/>
        <rFont val="Arial"/>
        <family val="2"/>
        <scheme val="minor"/>
      </rPr>
      <t>(Les données de l'exemple sont écrites en orange)</t>
    </r>
  </si>
  <si>
    <t>Cellules avec la valeur 0 : attention</t>
  </si>
  <si>
    <t>Cellules obligatoires
(Les données de l'exemple sont écrites en orange)</t>
  </si>
  <si>
    <r>
      <rPr>
        <sz val="11"/>
        <rFont val="Arial"/>
        <family val="2"/>
        <scheme val="minor"/>
      </rPr>
      <t>Cellules obligatoires</t>
    </r>
    <r>
      <rPr>
        <sz val="11"/>
        <color theme="5"/>
        <rFont val="Arial"/>
        <family val="2"/>
        <scheme val="minor"/>
      </rPr>
      <t xml:space="preserve">
(Les données de l'exemple sont écrites en orange)</t>
    </r>
  </si>
  <si>
    <r>
      <rPr>
        <sz val="11"/>
        <rFont val="Arial"/>
        <family val="2"/>
        <scheme val="minor"/>
      </rPr>
      <t>Il vous est recommandé d'avoir des cellules</t>
    </r>
    <r>
      <rPr>
        <sz val="11"/>
        <color theme="5"/>
        <rFont val="Arial"/>
        <family val="2"/>
        <scheme val="minor"/>
      </rPr>
      <t xml:space="preserve">
(Les données de l'exemple sont écrites en orange)</t>
    </r>
  </si>
  <si>
    <r>
      <rPr>
        <sz val="11"/>
        <rFont val="Arial"/>
        <family val="2"/>
        <scheme val="minor"/>
      </rPr>
      <t>Cellules optionnelles</t>
    </r>
    <r>
      <rPr>
        <sz val="11"/>
        <color theme="5"/>
        <rFont val="Arial"/>
        <family val="2"/>
        <scheme val="minor"/>
      </rPr>
      <t xml:space="preserve">
(Les données de l'exemple sont écrites en orange)</t>
    </r>
  </si>
  <si>
    <r>
      <rPr>
        <sz val="11"/>
        <rFont val="Arial"/>
        <family val="2"/>
        <scheme val="minor"/>
      </rPr>
      <t>Cellules à ne surtout pas modifier</t>
    </r>
    <r>
      <rPr>
        <sz val="11"/>
        <color theme="5"/>
        <rFont val="Arial"/>
        <family val="2"/>
        <scheme val="minor"/>
      </rPr>
      <t xml:space="preserve">
(Les données de l'exemple sont écrites en orange)</t>
    </r>
  </si>
  <si>
    <r>
      <rPr>
        <sz val="11"/>
        <rFont val="Arial"/>
        <family val="2"/>
        <scheme val="minor"/>
      </rPr>
      <t xml:space="preserve">Cellules obligatoires </t>
    </r>
    <r>
      <rPr>
        <sz val="11"/>
        <color theme="5"/>
        <rFont val="Arial"/>
        <family val="2"/>
        <scheme val="minor"/>
      </rPr>
      <t xml:space="preserve">
(Les données de l'exemple sont écrites en orange)</t>
    </r>
  </si>
  <si>
    <t>Droits de propriété intellectuelle</t>
  </si>
  <si>
    <t>Les outils sont utilisés par les experts en applications pour le cycle de développement des logiciels (SDLC).</t>
  </si>
  <si>
    <t>Des outils de surveillance (par exemple Centreon) sont utilisés au niveau de l'application.</t>
  </si>
  <si>
    <t>Les actifs obsolètes sont bloqués, remplacés ou protégés.</t>
  </si>
  <si>
    <t>Les biens ou les disques durs peuvent être détruits pour des raisons de sécurité lorsqu'ils sont retirés de l'environnement de production.</t>
  </si>
  <si>
    <t>Des options de redondance dans les centres de données situés dans différentes régions sont mises en place.</t>
  </si>
  <si>
    <t>Des options de sauvegarde sont mises en place</t>
  </si>
  <si>
    <t>Utilisation d'outils de classification et de cartographie des données</t>
  </si>
  <si>
    <t>Un registre des données personnelles est tenu et contrôlé</t>
  </si>
  <si>
    <t>Une solution de gestion des risques numériques (solution DRM : Varonis, AIP) est utilisée pour détecter les fuites de données sur Internet.</t>
  </si>
  <si>
    <t>Les données sensibles en transit sont sécurisées (via une solution DLP, des règles SIEM, une solution d'échange sécurisée).</t>
  </si>
  <si>
    <t>Les fuites de données non structurées sont évitées à l'aide de solutions DLP sur les postes de travail (par exemple Varonis, Symantec).</t>
  </si>
  <si>
    <t xml:space="preserve">Des solutions DLP sont déployées sur les points du réseau pour prévenir les fuites de données. </t>
  </si>
  <si>
    <t>Des outils sont utilisés pour désensibiliser les données</t>
  </si>
  <si>
    <t>Surveillance automatique de l'internet pour détecter les fuites de données (par exemple, CyberAngel)</t>
  </si>
  <si>
    <t>Les données sont cryptées</t>
  </si>
  <si>
    <t>Des registres des systèmes de sécurité sont conservés.</t>
  </si>
  <si>
    <t>Les sources CTI sont utilisées pour couvrir l'ensemble du périmètre de l'entreprise</t>
  </si>
  <si>
    <t>Les indicateurs de compromission sont qualifiés et corrélés</t>
  </si>
  <si>
    <t>Les systèmes de détection et de prévention des intrusions sont activés et connectés au SIEM.</t>
  </si>
  <si>
    <t>Des sondes de détection (ex : Darktrace, Vectra) sont déployées sur le système d'information.</t>
  </si>
  <si>
    <t>Un EDR (outil de détection et de réponse pour les points finaux, par exemple Symantec, SentinelOne, Fireeye) et un bac à sable sont utilisés pour détecter les logiciels malveillants.</t>
  </si>
  <si>
    <t>Des solutions anti-malware ou de prévention des intrusions (host IPS) sont déployées sur les postes de travail.</t>
  </si>
  <si>
    <t>Un EDR (outil de détection et de réponse des points finaux, par exemple SentinelOne, Symantec, FireEye) est déployé sur tous les postes de travail.</t>
  </si>
  <si>
    <t>Un outil de gestion des appareils (par exemple SCCM, Intune, Tanium, Jamf) est déployé sur les postes de travail.</t>
  </si>
  <si>
    <t>L'accès à distance est sécurisé par un VPN crypté (Netscale, Pulse, Cisco), une vérification de l'hôte ou une authentification multifactorielle (MFA).</t>
  </si>
  <si>
    <t>Les clés USB sont protégées à l'intérieur et à l'extérieur des locaux de l'entreprise (logiciel d'analyse antivirus, bac à sable, clé USB cryptée).</t>
  </si>
  <si>
    <t>Un outil de gestion (par exemple MDM, Microsoft Intune, Mobile Iron, AirWatch) est installé sur les téléphones mobiles.</t>
  </si>
  <si>
    <t>La plate-forme de courrier électronique est sécurisée par des analyses antivirus, le cryptage de la couche de transport (TLS), le relais de serveur, des logiciels anti-spam et anti-phishing, des logiciels de protection contre les menaces avancées (par exemple Windows ATP, Proofpoint).</t>
  </si>
  <si>
    <t>Postes de travail dédiés pour les administrateurs</t>
  </si>
  <si>
    <t>Une organisation dédiée à la cybersécurité est en place, avec des rôles et des responsabilités bien définis.</t>
  </si>
  <si>
    <t>Sensibilisation des employés internes et externes à la cybersécurité par le biais de formations et de tests pour certaines populations.</t>
  </si>
  <si>
    <t>Un tableau de bord a été formalisé pour suivre le niveau de sécurité des SI.</t>
  </si>
  <si>
    <t>Un outil de gestion du cycle de vie des identités (par exemple Sailpoint, Oracle, IBM, One Identity) est utilisé pour gérer les identités des utilisateurs.</t>
  </si>
  <si>
    <t>D'autres mécanismes sont utilisés pour authentifier les identités techniques, tels que les jetons d'authentification.</t>
  </si>
  <si>
    <t>Un processus de gestion des incidents de sécurité est en place, documenté et contrôlé.</t>
  </si>
  <si>
    <t>Des outils sont utilisés pour les enquêtes (par exemple EnCase).</t>
  </si>
  <si>
    <t>Les prestataires de services d'intervention en cas d'incident sont mobilisés lors d'une crise ou d'un incident</t>
  </si>
  <si>
    <t>Les règles de segmentation du réseau sont en place</t>
  </si>
  <si>
    <t>Les flux du réseau sont protégés, par exemple par un outil de micro-segmentation automatique (par exemple Illumio).</t>
  </si>
  <si>
    <t>Les flux de données sont identifiés, cartographiés et centralisés dans un outil global (par exemple Tufin, AlgoSec).</t>
  </si>
  <si>
    <t>Des outils automatiques analysent le réseau (par exemple NetFlow, Cisco, J-Flow, Darktrace) pour détecter les flux non autorisés ou inhabituels.</t>
  </si>
  <si>
    <t>Le reporting automatique et la détection en temps réel de l'informatique fantôme sont opérationnels, par exemple à l'aide d'un outil de découverte des flux de données (par exemple Tufin, AlgoSec et/ou par l'intermédiaire d'un CASB).</t>
  </si>
  <si>
    <t>Tous les accès à Internet se font via un proxy géré par l'entreprise.</t>
  </si>
  <si>
    <t>Des mesures de protection sont mises en œuvre pour toutes les navigations, telles que le proxy, l'analyse des pages web, le sandboxing et le décryptage TLS.</t>
  </si>
  <si>
    <t>Les services orientés vers l'internet sont sécurisés à l'aide d'une solution anti-DDoS basée sur le réseau.</t>
  </si>
  <si>
    <t>Les services orientés vers l'internet sont sécurisés à l'aide d'une solution anti-DDoS basée sur les applications.</t>
  </si>
  <si>
    <t>Un SI d'administration dédié et une authentification juste à temps sont en place pour empêcher tout accès non autorisé lors de l'administration à distance.</t>
  </si>
  <si>
    <t>Les connexions des postes de travail externes au réseau de l'entreprise sont empêchées à l'aide de NAC (par exemple ForeScout, Palo Alto) et d'une ségrégation basée sur le type d'équipement.</t>
  </si>
  <si>
    <t>Des analyses de vulnérabilité (par exemple Qualys), des analyses de code (par exemple Checkmarx, Fortify, Veracode) et des tests de pénétration (par exemple Veracode) sont également effectués.</t>
  </si>
  <si>
    <t>Les infrastructures critiques sont renforcées.</t>
  </si>
  <si>
    <t>Des analyses de vulnérabilité (par exemple Qualys, Rapid7, Acunetix, Tenable, OpenVAS) sont effectuées sur les serveurs, le système d'exploitation, les logiciels intermédiaires, la base de données et l'infrastructure du réseau.</t>
  </si>
  <si>
    <t>Le correctif des serveurs, des logiciels intermédiaires, des bases de données et de l'infrastructure du réseau est effectué à l'aide d'outils (par exemple WSUS, SEP).</t>
  </si>
  <si>
    <t>Des correctifs virtuels (par exemple Trend Micro) sont appliqués.</t>
  </si>
  <si>
    <t>Toutes les modifications sont consolidées dans un outil ITSM unique et centralisé (par exemple Service Now).</t>
  </si>
  <si>
    <t>Les différences avec les bases de données de configuration sont identifiées en temps réel à l'aide d'outils (par exemple Pupet, Ansible, Qualys, BigFix).</t>
  </si>
  <si>
    <t>Le Tier 0 (zone sensible pour la gestion de l'AD) est séparé du reste du SI, en utilisant un poste de travail dédié pour l'administrateur du domaine et une infrastructure dédiée pour l'administration du Tier 0.</t>
  </si>
  <si>
    <t>Des infrastructures sont en place pour gérer le cycle de vie des certificats utilisés, telles qu'une ICP principale unique et des outils d'inventaire et d'analyse.</t>
  </si>
  <si>
    <t>Les clés privées des autorités de certification sont sécurisées dans des HSM ou dans un coffre-fort physique.</t>
  </si>
  <si>
    <t>Des moyens sécurisés sont utilisés pour déployer les mises à jour à distance (MFA, tests sur un environnement de non-production).</t>
  </si>
  <si>
    <t>Les données sont régulièrement sauvegardées sur les actifs de l'entreprise, y compris les équipements déconnectés, et un outil de reconstruction rapide est disponible en cas de crise.</t>
  </si>
  <si>
    <t>Les menaces pesant sur l'entreprise sont identifiées et consolidées.</t>
  </si>
  <si>
    <t>Les risques sont déterminés au niveau du projet/produit (boîte à outils formalisée, adaptée aux projets agiles, révisions périodiques).</t>
  </si>
  <si>
    <t>Après une acquisition et avant toute nouvelle connexion, la mise en œuvre des mesures de sécurité est vérifiée.</t>
  </si>
  <si>
    <t>Des audits de sécurité techniques et organisationnels sont effectués sur le système d'information.</t>
  </si>
  <si>
    <t>Un processus est en place pour évaluer le respect des obligations contractuelles des tiers.</t>
  </si>
  <si>
    <t>Contrôle NIST</t>
  </si>
  <si>
    <t>Sujet du NIST</t>
  </si>
  <si>
    <t>Structure du fichier</t>
  </si>
  <si>
    <t>Catégorie de données collectées</t>
  </si>
  <si>
    <t>Personnel Cyber</t>
  </si>
  <si>
    <t>Personnel du groupe: Intensité moyenne en carbone du bouquet électrique (kgCO2e/kWh)</t>
  </si>
  <si>
    <t>% ou nombre d'internes dans ce pays</t>
  </si>
  <si>
    <t>Algérie</t>
  </si>
  <si>
    <t>Argentine</t>
  </si>
  <si>
    <t>Arménie</t>
  </si>
  <si>
    <t>Australie</t>
  </si>
  <si>
    <t>Autriche</t>
  </si>
  <si>
    <t>Azerbaïdjan</t>
  </si>
  <si>
    <t>Bélarus</t>
  </si>
  <si>
    <t>Belgique</t>
  </si>
  <si>
    <t>Bénin</t>
  </si>
  <si>
    <t>Bolivie</t>
  </si>
  <si>
    <t>Bosnie et Herzégovine</t>
  </si>
  <si>
    <t>Brésil</t>
  </si>
  <si>
    <t>Bulgarie</t>
  </si>
  <si>
    <t>Cameroun</t>
  </si>
  <si>
    <t>Chili</t>
  </si>
  <si>
    <t>Chine</t>
  </si>
  <si>
    <t>Colombie</t>
  </si>
  <si>
    <t>Croatie</t>
  </si>
  <si>
    <t>Chypre</t>
  </si>
  <si>
    <t>République Tchèque</t>
  </si>
  <si>
    <t>Danemark</t>
  </si>
  <si>
    <t>République dominicaine</t>
  </si>
  <si>
    <t>Equateur</t>
  </si>
  <si>
    <t>Egypte</t>
  </si>
  <si>
    <t>Erythrée</t>
  </si>
  <si>
    <t>Estonie</t>
  </si>
  <si>
    <t>Union européenne (27 Etats membres)</t>
  </si>
  <si>
    <t>Finlande</t>
  </si>
  <si>
    <t>Polynésie française</t>
  </si>
  <si>
    <t>Géorgie</t>
  </si>
  <si>
    <t>Allemagne</t>
  </si>
  <si>
    <t>Grèce</t>
  </si>
  <si>
    <t>Hongrie</t>
  </si>
  <si>
    <t>Islande</t>
  </si>
  <si>
    <t>Inde</t>
  </si>
  <si>
    <t>Indonésie</t>
  </si>
  <si>
    <t>Irak</t>
  </si>
  <si>
    <t>Israël</t>
  </si>
  <si>
    <t>Italie</t>
  </si>
  <si>
    <t>Côte d'Ivoire</t>
  </si>
  <si>
    <t>Jamaïque</t>
  </si>
  <si>
    <t>Japon</t>
  </si>
  <si>
    <t>Jordanie</t>
  </si>
  <si>
    <t>Koweït</t>
  </si>
  <si>
    <t>Kirghizistan</t>
  </si>
  <si>
    <t>Lettonie</t>
  </si>
  <si>
    <t>Liban</t>
  </si>
  <si>
    <t>Lybie</t>
  </si>
  <si>
    <t>Lituanie</t>
  </si>
  <si>
    <t>Macédoine</t>
  </si>
  <si>
    <t>Malaisie</t>
  </si>
  <si>
    <t>Malte</t>
  </si>
  <si>
    <t>Mauritanie</t>
  </si>
  <si>
    <t>Mexique</t>
  </si>
  <si>
    <t>Moldavie</t>
  </si>
  <si>
    <t>Mongolie</t>
  </si>
  <si>
    <t>Monténégro</t>
  </si>
  <si>
    <t>Maroc</t>
  </si>
  <si>
    <t>Namibie</t>
  </si>
  <si>
    <t>Pays Bas</t>
  </si>
  <si>
    <t>Nouvelle Calédonie</t>
  </si>
  <si>
    <t>Nouvelle-Zélande</t>
  </si>
  <si>
    <t>Nigéria</t>
  </si>
  <si>
    <t>Corée du Nord</t>
  </si>
  <si>
    <t>Norvège</t>
  </si>
  <si>
    <t>Pérou</t>
  </si>
  <si>
    <t>Pologne</t>
  </si>
  <si>
    <t>Roumanie</t>
  </si>
  <si>
    <t>Russie</t>
  </si>
  <si>
    <t>Arabie Saoudite</t>
  </si>
  <si>
    <t>Sénégal</t>
  </si>
  <si>
    <t>Serbie</t>
  </si>
  <si>
    <t>Singapour</t>
  </si>
  <si>
    <t>Slovaquie</t>
  </si>
  <si>
    <t>Slovénie</t>
  </si>
  <si>
    <t>Afrique du sud</t>
  </si>
  <si>
    <t>Corée du Sud</t>
  </si>
  <si>
    <t>Espagne</t>
  </si>
  <si>
    <t>Soudan</t>
  </si>
  <si>
    <t>Suède</t>
  </si>
  <si>
    <t>Suisse</t>
  </si>
  <si>
    <t>Syrie</t>
  </si>
  <si>
    <t>Taïwan</t>
  </si>
  <si>
    <t>Tadjikistan</t>
  </si>
  <si>
    <t>Tanzanie</t>
  </si>
  <si>
    <t>Thaïlande</t>
  </si>
  <si>
    <t>Trinité-et-Tobago</t>
  </si>
  <si>
    <t>Tunisie</t>
  </si>
  <si>
    <t>Turquie</t>
  </si>
  <si>
    <t>Turkménistan</t>
  </si>
  <si>
    <t>Émirats arabes unis</t>
  </si>
  <si>
    <t>Royaume-Uni</t>
  </si>
  <si>
    <t>États-Unis</t>
  </si>
  <si>
    <t>Ouzbékistan</t>
  </si>
  <si>
    <t>Venezuela, République bolivarienne</t>
  </si>
  <si>
    <t>Vietnam</t>
  </si>
  <si>
    <t>Monde entier</t>
  </si>
  <si>
    <t>Yémen</t>
  </si>
  <si>
    <t>Zimbabwé</t>
  </si>
  <si>
    <t>Mix électrique par pays</t>
  </si>
  <si>
    <t>Client de la synthèse</t>
  </si>
  <si>
    <t>Détails des dispositifs Cyber</t>
  </si>
  <si>
    <t>Détail du réseau</t>
  </si>
  <si>
    <t>Émissions des serveurs de sauvegarde kgCO2e</t>
  </si>
  <si>
    <t>Détails des serveurs de sauvegarde</t>
  </si>
  <si>
    <t>Détail de l'infrastructure des logiciels Cyber</t>
  </si>
  <si>
    <t>Détails des services externes</t>
  </si>
  <si>
    <t>Détails du voyage</t>
  </si>
  <si>
    <t>Émissions des équipements Non cyber kgCO2e2</t>
  </si>
  <si>
    <t>Détail des équipements Non cyber</t>
  </si>
  <si>
    <t>Émissions du réseau kgCO2e</t>
  </si>
  <si>
    <t>Émissions de l'Infra logiciels Cyber kgCO2e</t>
  </si>
  <si>
    <t>Sujet</t>
  </si>
  <si>
    <t>Champ d'application 2 (tCO2e)</t>
  </si>
  <si>
    <t>Champ d'application 3 (tCO2e)</t>
  </si>
  <si>
    <t>Champ d'application</t>
  </si>
  <si>
    <t>Champ d'application 2</t>
  </si>
  <si>
    <t>Champs d'application 3</t>
  </si>
  <si>
    <t>Catégorie</t>
  </si>
  <si>
    <t>Sous catégorie</t>
  </si>
  <si>
    <t>Serveurs de sauvegarde et de redondance</t>
  </si>
  <si>
    <t>Réseau</t>
  </si>
  <si>
    <t>Services externes</t>
  </si>
  <si>
    <t>Voyage</t>
  </si>
  <si>
    <t>Équipements non cyber</t>
  </si>
  <si>
    <t>Dispositifs Cyber</t>
  </si>
  <si>
    <t>Ordinateur portable (Log, Antivirus)</t>
  </si>
  <si>
    <t>Bureau (Log, Antivirus)</t>
  </si>
  <si>
    <t>Serveurs (Log, Antivirus)</t>
  </si>
  <si>
    <t>Sauvegarde</t>
  </si>
  <si>
    <t>Redondance</t>
  </si>
  <si>
    <t>Sur site</t>
  </si>
  <si>
    <t>Sur Cloud</t>
  </si>
  <si>
    <t>Ecrans</t>
  </si>
  <si>
    <t>Pare-feu/WAF</t>
  </si>
  <si>
    <t>Services T&amp;M</t>
  </si>
  <si>
    <t>Prix fixe</t>
  </si>
  <si>
    <t>Avion</t>
  </si>
  <si>
    <t>Voiture</t>
  </si>
  <si>
    <t>Infrastructure des logiciels cyber</t>
  </si>
  <si>
    <t>Serveurs de sauvegarde</t>
  </si>
  <si>
    <t xml:space="preserve"> Infrastructure des logiciels Cyber</t>
  </si>
  <si>
    <t>Equipements Non-Cyber</t>
  </si>
  <si>
    <t>Total Champ d'application 2</t>
  </si>
  <si>
    <t>Total Champ d'application 3</t>
  </si>
  <si>
    <t>Sujet NIST</t>
  </si>
  <si>
    <t>Exigences simplifiées en matière d'émissions</t>
  </si>
  <si>
    <t>Émissions annuelles totales de CO2e(kgCO2e)</t>
  </si>
  <si>
    <t>Émissions annuelles totales de CO2e (%)</t>
  </si>
  <si>
    <t>Émissions des appareils Cyber kgCO2e</t>
  </si>
  <si>
    <t>Détails des appareils Cyber</t>
  </si>
  <si>
    <t>Émissions du réseau  kgCO2e</t>
  </si>
  <si>
    <t>Émissions des serveurs de sauvegarde  kgCO2e</t>
  </si>
  <si>
    <t>Émissions de l'Infra des logiciels Cyber kgCO2e</t>
  </si>
  <si>
    <t>Détail de l'Infra des logiciels Cyber</t>
  </si>
  <si>
    <t>Émissions des services externes kgCO2e</t>
  </si>
  <si>
    <t>Émissions liées aux voyages kgCO2e</t>
  </si>
  <si>
    <t>Détail des voyages</t>
  </si>
  <si>
    <t>Détail des équipements Non-Cyber</t>
  </si>
  <si>
    <t>Les outils sont utilisés par les experts en sécurité des applications pour le cycle de vie du développement logiciel.</t>
  </si>
  <si>
    <t>Des outils de supervision (par exemple Centreon) sont utilisés au niveau des applications.</t>
  </si>
  <si>
    <t>Les biens ou les disques durs peuvent être détruits pour des raisons de sécurité lorsqu'ils sont retirés de la production.</t>
  </si>
  <si>
    <t>Des capacités de redondance entre les centres de données de différentes régions sont mises en place.</t>
  </si>
  <si>
    <t>Les capacités de sauvegarde sont mises en place.</t>
  </si>
  <si>
    <t>Des outils de classification des données (par exemple BoldonJames, AIP) et de cartographie des données sont utilisés.</t>
  </si>
  <si>
    <t>Un registre de données personnelles est à jour et contrôlé.</t>
  </si>
  <si>
    <t>Une solution DRM (Digital Risk Management) (par exemple Varonis, AIP) est utilisée pour détecter les fuites de données sur Internet.</t>
  </si>
  <si>
    <t>Les données sensibles en transit sont sécurisées (via une solution DPL, des règles SIEM, une solution d'échange sécurisée).</t>
  </si>
  <si>
    <t>Les fuites de données non structurées sont évitées par les solutions DLP sur les ordinateurs de bureau (par exemple Varonis, Symantec).</t>
  </si>
  <si>
    <t>Les solutions DLP sont déployées sur les points du réseau afin de prévenir les fuites de données.</t>
  </si>
  <si>
    <t>Des outils sont disponibles pour effectuer la désensibilisation des données.</t>
  </si>
  <si>
    <t>Un contrôle automatisé est effectué sur Internet pour détecter les fuites de données (par exemple via l'offre CyberAngel).</t>
  </si>
  <si>
    <t>Les données sont cryptées.</t>
  </si>
  <si>
    <t>Les sources CTI sont utilisées pour couvrir l'ensemble du champ d'application de l'entreprise.</t>
  </si>
  <si>
    <t>Les CIO sont qualifiés et corrélés.</t>
  </si>
  <si>
    <t>Les systèmes IDS et IPS sont activés et connectés au SIEM.</t>
  </si>
  <si>
    <t>Des sondes de détection (par exemple Darktrace, Vectra) sont déployées sur le SI.</t>
  </si>
  <si>
    <t>Un EDR (par exemple Symantec, SentinelOne, Fireeye) et le sandboxing sont utilisés pour détecter les logiciels malveillants au niveau de l'infrastructure.</t>
  </si>
  <si>
    <t>Des solutions anti-malware et des IPS hôtes sont déployés sur tous les postes de travail.</t>
  </si>
  <si>
    <t>L'EDR (par exemple SentinelOne, Symantec, FireEye) est déployé sur tous les postes de travail.</t>
  </si>
  <si>
    <t>Les outils de gestion des appareils (par exemple SCCM, Intune, Tanium, Jamf) sont déployés sur les postes de travail.</t>
  </si>
  <si>
    <t>L'accès à distance est sécurisé à l'aide d'un VPN crypté (par exemple NetScale, Pulse, Cisco), d'un contrôle d'hôte, d'un MFA.</t>
  </si>
  <si>
    <t>Les supports amovibles sont protégés à l'intérieur et à l'extérieur des locaux de l'organisation (analyse du logiciel anti-malware, bac à sable USB, supports amovibles cryptés).</t>
  </si>
  <si>
    <t>Des outils de gestion des appareils (par exemple MDM, Microsoft Intune, Mobile Iron, AirWatch) sont mis en œuvre pour les appareils mobiles.</t>
  </si>
  <si>
    <t>La plate-forme de courrier électronique est sécurisée par une analyse antivirus, un cryptage TLS, un serveur de relais, un service anti-spam et anti-phishing, une protection avancée contre les menaces (par exemple Windows ATP, Proofpoint).</t>
  </si>
  <si>
    <t>Des postes de travail dédiés sont utilisés pour les administrateurs.</t>
  </si>
  <si>
    <t>Le personnel interne et externe est sensibilisé à la cybersécurité par des formations, des tests destinés à des populations spécifiques et des jeux sérieux.</t>
  </si>
  <si>
    <t>Un tableau de bord est formalisé pour suivre le niveau de sécurité du système d'information.</t>
  </si>
  <si>
    <t>Un outil de gestion du cycle de vie des identités (par exemple SailPoint, Oracle, IBM, One Identity) est utilisé pour gérer les identités des utilisateurs.</t>
  </si>
  <si>
    <t>D'autres mécanismes sont utilisés pour l'authentification des identités techniques, tels que les clés matérielles.</t>
  </si>
  <si>
    <t>Un processus de gestion des incidents de sécurité est mis en œuvre, documenté et contrôlé.</t>
  </si>
  <si>
    <t>Des outils sont utilisés pour les enquêtes judiciaires (par exemple EnCase).</t>
  </si>
  <si>
    <t>Les entreprises de cyber-réponse sont mobilisées en cas de crise ou d'incident.</t>
  </si>
  <si>
    <t>Les règles de segmentation du réseau sont mises en œuvre.</t>
  </si>
  <si>
    <t>Les flux du réseau sont protégés, par exemple via un outil de micro segmentation automatique (par exemple Illumio).</t>
  </si>
  <si>
    <t>Des outils automatiques analysent le réseau (par exemple NetFlow Cisco, J-Flow de Juniper, Darktrace) pour détecter les flux non autorisés ou inhabituels.</t>
  </si>
  <si>
    <t>Le reporting automatique et la détection en temps réel de l'informatique parallèle sont opérationnels, par exemple à l'aide d'un outil de découverte des flux de données (par exemple Tufin, AlgoSec et/ou par l'intermédiaire d'un CASB).</t>
  </si>
  <si>
    <t>Tous les accès à l'Internet se font par l'intermédiaire d'un proxy géré par l'entreprise.</t>
  </si>
  <si>
    <t>Des mesures de protection sont mises en œuvre pour l'ensemble de la navigation, telles que le proxy, l'analyse des pages web, le sandboxing, le décryptage TLS.</t>
  </si>
  <si>
    <t>Les services orientés vers l'internet sont sécurisés par une solution anti-DDoS basée sur les applications.</t>
  </si>
  <si>
    <t>Un SI dédié à l'administration et une authentification en flux tendu sont mis en place pour éviter les accès non autorisés lors de l'administration à distance.</t>
  </si>
  <si>
    <t>Les connexions des postes de travail externes au réseau de l'entreprise sont empêchées à l'aide de NAC (par exemple ForeScout, Palo Alto) et d'une ségrégation basée sur le type d'actif.</t>
  </si>
  <si>
    <t>Des analyses de vulnérabilité (par exemple Qualys), des examens de code (par exemple Checkmarx, Fortify, Veracode) et des tests de pénétration (par exemple BURP, ZAP) sont effectués.</t>
  </si>
  <si>
    <t>Les analyses de vulnérabilité (par exemple Qualys, Rapid7, Acunetix, Tenable, OpenVAS) sont effectuées sur les serveurs, le système d'exploitation, les logiciels intermédiaires, la base de données et l'infrastructure du réseau.</t>
  </si>
  <si>
    <t>Les correctifs de sécurité sur les serveurs, les logiciels intermédiaires, les bases de données et l'infrastructure du réseau sont effectués à l'aide d'outils (par exemple WSUS, SEP).</t>
  </si>
  <si>
    <t>Le patching virtuel (par exemple Trend Micro) est effectué.</t>
  </si>
  <si>
    <t>Toutes les modifications sont consolidées dans un seul outil ITSM centralisé (par exemple Service Now).</t>
  </si>
  <si>
    <t>Les différences avec les bases de configuration sont identifiées en temps réel à l'aide d'outils (par exemple Pupet, Ansible, Qualys, BigFix).</t>
  </si>
  <si>
    <t>Le niveau 0 (zone sensible pour la gestion de l'AD) est séparé du reste du SI, en utilisant un poste de travail dédié à l'administrateur du domaine et une infrastructure dédiée pour l'administration du niveau 0.</t>
  </si>
  <si>
    <t>Une sauvegarde régulière des données est effectuée sur les actifs de l'entreprise, y compris les équipements déconnectés, et un outil de reconstruction rapide est disponible en cas de crise.</t>
  </si>
  <si>
    <t>Les risques sont déterminés au niveau des projets/produits (boîte à outils formalisée, adaptée aux projets agiles, révisions périodiques).</t>
  </si>
  <si>
    <t>Nombre moyen de CPU dans un serveur physique</t>
  </si>
  <si>
    <t>Nombre moyen de vCPU pour 1 CPU physique</t>
  </si>
  <si>
    <t>Quantité d'un rack utilisé pour stocker 1 serveur physique</t>
  </si>
  <si>
    <t xml:space="preserve">Le ratio CPU/RAM dédié à la génération de logs par les PC non cybernétiques </t>
  </si>
  <si>
    <t xml:space="preserve">Le ratio CPU/RAM consacré à l'antivirus par les PC non cybernétiques </t>
  </si>
  <si>
    <t>Le ratio CPU/RAM dédié à la génération de logs par des serveurs non cybernétiques</t>
  </si>
  <si>
    <t>Le ratio CPU/RAM dédié à l'antivirus/patch par les serveurs non cybernétiques</t>
  </si>
  <si>
    <t>Hypothèse</t>
  </si>
  <si>
    <t>Valeur</t>
  </si>
  <si>
    <t>Equipements de travail</t>
  </si>
  <si>
    <t>Poste de travail</t>
  </si>
  <si>
    <t>Nom</t>
  </si>
  <si>
    <t>Autres</t>
  </si>
  <si>
    <t>Voyages</t>
  </si>
  <si>
    <t>Services externes (conseil, maintenance, etc.)</t>
  </si>
  <si>
    <t>Ratio monétaire du Cloud</t>
  </si>
  <si>
    <t xml:space="preserve">Infrastructure sur site </t>
  </si>
  <si>
    <t>Serveurs</t>
  </si>
  <si>
    <t>Stockage SSD</t>
  </si>
  <si>
    <t>Paramètre</t>
  </si>
  <si>
    <t>Durée de vie moyenne (années)</t>
  </si>
  <si>
    <t>Fabrication + utilisation (kCO2e)</t>
  </si>
  <si>
    <t>Unité</t>
  </si>
  <si>
    <t>Fabrication (kCO2e)</t>
  </si>
  <si>
    <t>Émissions</t>
  </si>
  <si>
    <t>Lien 1</t>
  </si>
  <si>
    <t>Lien 2</t>
  </si>
  <si>
    <t>Description / Commentaires2</t>
  </si>
  <si>
    <t>[Serveurs] Émissions en amont : Facteur RAM (kgCO2e/GB)</t>
  </si>
  <si>
    <t>Lien</t>
  </si>
  <si>
    <t>[Serveurs] Émissions en amont : Facteur CPU (kgCO2e/unités CPU)</t>
  </si>
  <si>
    <t>[Serveurs] Émissions en amont : Facteur CPU Boavizta (kgCO2e/unités CPU)</t>
  </si>
  <si>
    <t xml:space="preserve"> [Serveurs] CPU (unité)</t>
  </si>
  <si>
    <t>Colonne2</t>
  </si>
  <si>
    <t xml:space="preserve"> [Serveurs] Émissions en amont : facteur de base (kgCO2e/unité)</t>
  </si>
  <si>
    <t>Voyage en train</t>
  </si>
  <si>
    <t>Services externes en régie</t>
  </si>
  <si>
    <t>Services externes à honoraire fixes</t>
  </si>
  <si>
    <t>Boavizta / Etude ADEME 2012</t>
  </si>
  <si>
    <t>ADEME 2012, Guide sectoriel</t>
  </si>
  <si>
    <t>Moyenne</t>
  </si>
  <si>
    <t>Postes de travail utilisés par les employés Cyber internes</t>
  </si>
  <si>
    <t>Postes de travail utilisés par les contractants cyber donnés par votre entreprise</t>
  </si>
  <si>
    <t>Postes de travail utilisés à des fins de sauvegarde</t>
  </si>
  <si>
    <t>Écrans</t>
  </si>
  <si>
    <t>Poste de travail - Ordinateur portable</t>
  </si>
  <si>
    <t xml:space="preserve">Quantité </t>
  </si>
  <si>
    <t>Durée de vie</t>
  </si>
  <si>
    <t>Facteur d'émission</t>
  </si>
  <si>
    <t>Consommation électrique (kWh/an/unité)</t>
  </si>
  <si>
    <t>Fabrication (kgCO2e/unité)</t>
  </si>
  <si>
    <t>Champ d'application 2 (kgC02e)</t>
  </si>
  <si>
    <t>Champ d'application 3 (kgC02e)</t>
  </si>
  <si>
    <t>Émissions totales (kgC02e)</t>
  </si>
  <si>
    <t>Proxy/Reverse-proxy dans l'ensemble de l'entreprise</t>
  </si>
  <si>
    <t>Localisation</t>
  </si>
  <si>
    <t>ID du centre de données</t>
  </si>
  <si>
    <t>ID des serveurs</t>
  </si>
  <si>
    <t>Type de serveur (PROD,TEST)</t>
  </si>
  <si>
    <t>Catégorie Cyber</t>
  </si>
  <si>
    <t>Durée de vie du serveur</t>
  </si>
  <si>
    <t xml:space="preserve">Emplacement du serveur </t>
  </si>
  <si>
    <t>Serveurs physiques (unité)</t>
  </si>
  <si>
    <t>CPU physiques (unité)</t>
  </si>
  <si>
    <t>Disque dur (unité)</t>
  </si>
  <si>
    <t>Commentaire</t>
  </si>
  <si>
    <t>Consommation électrique (kWh)</t>
  </si>
  <si>
    <t>Champ d'application 2 (kgCO2e)</t>
  </si>
  <si>
    <t>Champ d'application 3 (kgCO2e)</t>
  </si>
  <si>
    <t>Émissions totales (kgCO2e)</t>
  </si>
  <si>
    <t>Serveurs sur site utilisés pour la redondance et la sauvegarde</t>
  </si>
  <si>
    <r>
      <t xml:space="preserve">Logiciels dédiés à la cyber </t>
    </r>
    <r>
      <rPr>
        <b/>
        <sz val="16"/>
        <color rgb="FF000000"/>
        <rFont val="Arial"/>
        <family val="2"/>
        <scheme val="minor"/>
      </rPr>
      <t>hébergés sur site</t>
    </r>
  </si>
  <si>
    <t>Méthodologie du serveur</t>
  </si>
  <si>
    <t>ID de l'application</t>
  </si>
  <si>
    <t>Nom de l'application</t>
  </si>
  <si>
    <t>Description de l'application</t>
  </si>
  <si>
    <t>Durée de vie des serveurs</t>
  </si>
  <si>
    <t xml:space="preserve">Emplacements des serveurs </t>
  </si>
  <si>
    <t>vCPU (unité)</t>
  </si>
  <si>
    <t>Serveur physique calculé (unité)</t>
  </si>
  <si>
    <t>CPU physique calculée (unité)</t>
  </si>
  <si>
    <t>Nom1</t>
  </si>
  <si>
    <t>Nom2</t>
  </si>
  <si>
    <t>T&amp;M Services dédiés au cyberespace</t>
  </si>
  <si>
    <t>Services à prix fixe dédiés à la cybernétique</t>
  </si>
  <si>
    <t>Services à prix fixe dédiés à la cyber</t>
  </si>
  <si>
    <t>ID du service</t>
  </si>
  <si>
    <t>Nom du service</t>
  </si>
  <si>
    <t>Prestataire de services</t>
  </si>
  <si>
    <t>T&amp;M (en ETP)</t>
  </si>
  <si>
    <t>Prix fixe (en k€)</t>
  </si>
  <si>
    <t>Facteur d'émission de l'ETP (kgCO2e / unité)</t>
  </si>
  <si>
    <t>Facteur d'émission des coûts (kgCO2e/k€)</t>
  </si>
  <si>
    <t>Type de transport</t>
  </si>
  <si>
    <t>Nombre de km</t>
  </si>
  <si>
    <t>Émissions (kgCO2e/km)</t>
  </si>
  <si>
    <t>Poste de travail Non Cyber - Ordinateur portable</t>
  </si>
  <si>
    <t>Poste de travail Non Cyber - Ordinateur de bureau</t>
  </si>
  <si>
    <t>Modèle de serveur</t>
  </si>
  <si>
    <t>CPU physique (unité)</t>
  </si>
  <si>
    <t>VDIs utilisés par les administrateurs du SI (Périmètre du Groupe)</t>
  </si>
  <si>
    <t>VDIs utilisés par les employés (Périmètre du Groupe)</t>
  </si>
  <si>
    <t>Postes de travail utilisés par les administrateurs du SI (périmètre Groupe)</t>
  </si>
  <si>
    <t>Postes de travail utilisés par les administrateurs du SI (Périmètre du Groupe)</t>
  </si>
  <si>
    <t>Résultats</t>
  </si>
  <si>
    <t>Émissions de dispositifs (tCO2e)</t>
  </si>
  <si>
    <t>Référentiel interne</t>
  </si>
  <si>
    <t>% Dédié au cyber</t>
  </si>
  <si>
    <t>Postes de travail utilisés par les contractants Cyber donnés par votre entreprise</t>
  </si>
  <si>
    <t>Écrans utilisés par les employés Cyber internes ou externes donnés par votre entreprise</t>
  </si>
  <si>
    <t>Mobile utilisé par les employés Cyber internes ou externes mis à disposition par votre entreprise</t>
  </si>
  <si>
    <t>Émissions du réseau (tCO2e)</t>
  </si>
  <si>
    <t>Émissions des appareils (kgCO2e)</t>
  </si>
  <si>
    <t>Appareils</t>
  </si>
  <si>
    <t>IPS/IDS dans toute l'entreprise</t>
  </si>
  <si>
    <t>Pare-feu/WAF dans toute l'entreprise</t>
  </si>
  <si>
    <t>Émissions des serveurs sur site (tCO2e)</t>
  </si>
  <si>
    <t>Total des émissions des services sur place (kgCO2e)</t>
  </si>
  <si>
    <t>Serveurs redondants</t>
  </si>
  <si>
    <t>Total des émissions de la solution Cyber (kgCO2e)</t>
  </si>
  <si>
    <t>% de l'application contribuant à ce contrôle NIST</t>
  </si>
  <si>
    <t>% de l'application contribuant à ce référentiel interne</t>
  </si>
  <si>
    <t>Émissions de carbone du NIST selon le champ d'application 2 (kGCO2e)</t>
  </si>
  <si>
    <t>Champ d'application 3 Émissions de carbone du NIST (kGCO2e)2</t>
  </si>
  <si>
    <t>Émissions totales de carbone du NIST (kgCO2e)</t>
  </si>
  <si>
    <t>Émissions de carbone du référentiel interne Scope 2 (kgCO2e)</t>
  </si>
  <si>
    <t>Émissions de carbone du référentiel interne Scope 3 (kgCO2e)</t>
  </si>
  <si>
    <t>Total des émissions de carbone du référentiel interne (kgCO2e)</t>
  </si>
  <si>
    <t>Émissions des services extérieurs (tCO2e)</t>
  </si>
  <si>
    <t>Total des émissions des services extérieurs (kgCO2e)</t>
  </si>
  <si>
    <t>Services T&amp;M dédiés à la Cyber</t>
  </si>
  <si>
    <t>Description du service</t>
  </si>
  <si>
    <t>% de l'application contribuant 
à ce contrôle NIST</t>
  </si>
  <si>
    <t>Émissions de carbone du NIST (kgCO2e)</t>
  </si>
  <si>
    <t>Émissions de carbone du référentiel interne (kgCO2e)</t>
  </si>
  <si>
    <t>Émissions liées aux déplacements (tCO2e)</t>
  </si>
  <si>
    <t>Total des voyages (kgCO2e)</t>
  </si>
  <si>
    <t>VDI de Groupe</t>
  </si>
  <si>
    <t>Serveurs sur site non utilisés par la Cyber</t>
  </si>
  <si>
    <t>VDIs utilisés par les employés (cyber et non cyber)</t>
  </si>
  <si>
    <t>Ordinateur portable, quelle que soit la taille de l'écran</t>
  </si>
  <si>
    <t>Unité centrale d'ordinateur seule</t>
  </si>
  <si>
    <t>Ordinateur portable ; utilisation mixte ; configuration moyenne : écran 14,6 pouces, 1 CPU, 11 GB RAM, 497 GB SSD, 5 ans de durée de vie ; RAS</t>
  </si>
  <si>
    <t>Ordinateur de bureau ; utilisation professionnelle ; configuration moyenne : 1 CPU, 10 GB RAM, 1173 GB HDD, 442 GB SSD, mélange de cartes graphiques intégrées ou séparées, 6 ans de durée de vie ; RAS</t>
  </si>
  <si>
    <t>Serveur sous-jacent VDI (8 vCPU, 32 GB RAM dédié) et réseau</t>
  </si>
  <si>
    <t>Tablette ; usage mixte personnel et professionnel ; configuration moyenne : écran LCD de 10,44 pouces, 4 Go de RAM, 121 Go de mémoire, durée de vie de 3 ans ; RAS.</t>
  </si>
  <si>
    <t>Tablettes</t>
  </si>
  <si>
    <t>Toutes les tailles d'écran</t>
  </si>
  <si>
    <t>Écrans d’ordinateur ; usage mixte personnel et professionnel ; dimensions moyennes (24 pouces) et technologies (98,6 % LCD, 1,4 % OLED) ; durée de vie de 6,6 ans ; RAS.</t>
  </si>
  <si>
    <t>Téléphones</t>
  </si>
  <si>
    <t>Moniteurs de bureau</t>
  </si>
  <si>
    <t>Serveur</t>
  </si>
  <si>
    <t>Stockage</t>
  </si>
  <si>
    <t>Deuxième équation proposée par Boavizta dans son article de recherche. Elle nécessite l'accès aux données CPU et RAM.</t>
  </si>
  <si>
    <t xml:space="preserve">Etudes Wavestone </t>
  </si>
  <si>
    <t>Etudes Wavestone</t>
  </si>
  <si>
    <t>A l'unité</t>
  </si>
  <si>
    <t>Pare-feu</t>
  </si>
  <si>
    <t>Par GB</t>
  </si>
  <si>
    <t>ARCEP / ICT / Etude de l'AIE</t>
  </si>
  <si>
    <t>Réseau fixe</t>
  </si>
  <si>
    <t>Réseau mobile</t>
  </si>
  <si>
    <t>Émissions moyennes des voyages en train</t>
  </si>
  <si>
    <t>Courte distance, avec pistes</t>
  </si>
  <si>
    <t>Moyenne distance, avec pistes</t>
  </si>
  <si>
    <t>Longue distance, avec pistes</t>
  </si>
  <si>
    <t>Train à grande vitesse, France</t>
  </si>
  <si>
    <t>Train express régional (TER), France</t>
  </si>
  <si>
    <t>Trajet court, modèle de voiture moyen</t>
  </si>
  <si>
    <t>Long trajet, modèle de voiture moyen</t>
  </si>
  <si>
    <t>Trajet mixte, modèle de voiture moyen</t>
  </si>
  <si>
    <t>kgCO2eq/km.passager</t>
  </si>
  <si>
    <t>kgCO2e/k€ achetés</t>
  </si>
  <si>
    <t>kgCO2e/ETP achetés</t>
  </si>
  <si>
    <t>Consommation (kWh/an)</t>
  </si>
  <si>
    <t>Télévision ; usage mixte à dominante professionnelle ; dimension moyenne (45 pouces) et technologies (89 % LCD, 11 % OLED) ; durée de vie de 8 ans ; RAS.</t>
  </si>
  <si>
    <t>Télévision ; usage mixte à dominante personnelle ; dimension moyenne (45 pouces) et technologies (89 % LCD, 11 % OLED) ; durée de vie de 8 ans ; RAS.</t>
  </si>
  <si>
    <t>Alimentation électrique externe (EPS) ; usage mixte ; pour appareil mobile, entrée AC 100-240V, sortie DC 5V ; RAS.</t>
  </si>
  <si>
    <t>Alimentation électrique externe (EPS) ; usage mixte ; pour ordinateur portable, entrée AC 100-240V, sortie DC 19-20V ; RAS.</t>
  </si>
  <si>
    <t>Dispositif connecté (IoT) ; Capteurs - Industrie ; RAS.</t>
  </si>
  <si>
    <t>Dispositif connecté (IoT) ; Automatisation - Conditionnement de l'air ; RAS.</t>
  </si>
  <si>
    <t>Modem ; usage mixte, personnel et professionnel ; xDSL, FTTx, durée de vie de 5 ans ; RAS.</t>
  </si>
  <si>
    <t>Disque dur externe à état solide (SSD) ; usage mixte ; capacité moyenne (870 Go), durée de vie de 5 ans ; RAS.</t>
  </si>
  <si>
    <t>Disque dur externe (HDD) ; usage mixte ; capacité moyenne (1700 Go), durée de vie de 5 ans ; RAS.</t>
  </si>
  <si>
    <t>Clé USB ; usage mixte ; capacité moyenne (59,2 Go), durée de vie de 5 ans ; RAS.</t>
  </si>
  <si>
    <t xml:space="preserve">Présentation de la méthodologie Cybersustainability </t>
  </si>
  <si>
    <t>Les Logs des systèmes de sécurité des réseaux, des solutions de sécurité, des infrastructures et des applications commerciales sont analysés.</t>
  </si>
  <si>
    <t>Les Logs sont centralisés dans un SIEM (par exemple Splunk, Logpoint) et les événements anormaux sont détectés à l'aide de scénarios de détection. Des mesures correctives sont alors prises.</t>
  </si>
  <si>
    <t>Méthodologie des coûts</t>
  </si>
  <si>
    <t>ID de la demande</t>
  </si>
  <si>
    <t>Coût (k€)</t>
  </si>
  <si>
    <t>Facteur d'émission (kgCO2e / k€)</t>
  </si>
  <si>
    <t>Déplacements professionnels effectués par le personnel cyber interne</t>
  </si>
  <si>
    <t>Dans les serveurs sur site, le CPU/RAM des serveurs non cyber pour la génération de logs.</t>
  </si>
  <si>
    <t>Dans les serveurs sur site, le CPU/RAM des serveurs non cyber utilisés pour l'antivirus est utilisé pour la gestion de la sécurité.</t>
  </si>
  <si>
    <t>Postes de travail utilisés par les administrateurs du SI (périmètre du Groupe)</t>
  </si>
  <si>
    <t>Les bastions sont utilisés pour accéder aux consoles sur Cloud</t>
  </si>
  <si>
    <t>Un modèle de sécurité basé sur la confiance zéro (Zero Trust) est utilisé.</t>
  </si>
  <si>
    <t>Les applications sont sécurisées à l'aide de pare-feu, de systèmes de prévention des intrusions (IPS), de reverse-proxy et de WAF.</t>
  </si>
  <si>
    <t>ID du DC</t>
  </si>
  <si>
    <r>
      <t xml:space="preserve">Logiciels Cyber dédiés </t>
    </r>
    <r>
      <rPr>
        <b/>
        <sz val="16"/>
        <color rgb="FF000000"/>
        <rFont val="Arial"/>
        <family val="2"/>
        <scheme val="minor"/>
      </rPr>
      <t>hébergés sur le cloud</t>
    </r>
    <r>
      <rPr>
        <sz val="16"/>
        <color rgb="FF000000"/>
        <rFont val="Arial"/>
        <family val="2"/>
        <scheme val="minor"/>
      </rPr>
      <t xml:space="preserve"> (IaaS / SaaS...)</t>
    </r>
  </si>
  <si>
    <t>Disque dur/HDD (unité)</t>
  </si>
  <si>
    <t>Déplacements effectués par le personnel Cyber interne</t>
  </si>
  <si>
    <t>VDI du Groupe</t>
  </si>
  <si>
    <t>Postes de travail utilisés par des employés internes non Cyber</t>
  </si>
  <si>
    <t>Postes de travail utilisés par des contractants non Cyber donnés par votre entreprise</t>
  </si>
  <si>
    <t>Poste de travail - Ordinateur de bureau</t>
  </si>
  <si>
    <t>Émissions des solutions Cyber (tCO2e)</t>
  </si>
  <si>
    <t>Solutions dédiées à la cyber hébergées sur place</t>
  </si>
  <si>
    <t>Solutions Cyber dédiées hébergées dans le Cloud</t>
  </si>
  <si>
    <t>Services à prix fixe dédiés à la Cyber</t>
  </si>
  <si>
    <t>Émissions des équipements non Cyber (tCO2e)</t>
  </si>
  <si>
    <t>Serveurs non Cyber</t>
  </si>
  <si>
    <t>Total des émissions de logs et d'antivirus pour les équipements non Cyber (kgCO2e)</t>
  </si>
  <si>
    <t>Postes de travail utilisés par les employés internes non Cyber - CPU/RAM utilisés pour l'antivirus/le correctif</t>
  </si>
  <si>
    <t>Postes de travail utilisés par les employés internes non Cyber - CPU/RAM utilisés pour la génération de logs</t>
  </si>
  <si>
    <t>Postes de travail utilisés par des contractants non Cyber donnés par votre entreprise - CPU/RAM utilisés pour l'antivirus/les correctifs</t>
  </si>
  <si>
    <t>Postes de travail utilisés par des contractants non Cyber fournis par votre entreprise - CPU/RAM utilisés pour la génération de logs</t>
  </si>
  <si>
    <t>% Dédié à la Cyber</t>
  </si>
  <si>
    <t>Stockage Disque Dur/HDD</t>
  </si>
  <si>
    <t>Des Bastion sont utilisés pour accéder aux consoles sur Cloud.</t>
  </si>
  <si>
    <t>Un modèle de sécurité basé sur l'identité et la confiance zéro (Zero trust) est utilisé.</t>
  </si>
  <si>
    <t>Les Logs sont collectés : logs des systèmes de sécurité du réseau, logs des solutions de sécurité, logs de l'infrastructure, logs des applications commerciales.</t>
  </si>
  <si>
    <t>Les logs sont analysés : logs des dispositifs de sécurité, logs des solutions de sécurité, logs de l'infrastructure, logs des applications commerciales.</t>
  </si>
  <si>
    <t>Les logs sont centralisés dans un SIEM (p. ex. Splunk, Logpoint) et les événements anormaux sont détectés au moyen de scénarios de détection et corrigés.</t>
  </si>
  <si>
    <t>Les applications sont sécurisées à l'aide de pare-feu, d'IPS, de reverse-proxy et de WAF.</t>
  </si>
  <si>
    <t>Emissions par catégorie (tCO2e)</t>
  </si>
  <si>
    <t>Émissions du voyage kgCO2e</t>
  </si>
  <si>
    <r>
      <t xml:space="preserve">Solutions dédiées à la Cyber </t>
    </r>
    <r>
      <rPr>
        <b/>
        <sz val="16"/>
        <rFont val="Arial"/>
        <family val="2"/>
        <scheme val="minor"/>
      </rPr>
      <t>hébergées sur place</t>
    </r>
  </si>
  <si>
    <t>Avertissements</t>
  </si>
  <si>
    <t>Le facteur d'émission pour l'empreinte du cloud présente un fort degré d'incertitude, en raison du manque de données fournies par les prestataires.</t>
  </si>
  <si>
    <t>De manière plus générale, l'outil nécessite souvent une légère adaptation pour correspondre à la réalité de chaque organisation.</t>
  </si>
  <si>
    <t>Onglets</t>
  </si>
  <si>
    <t>Onglet 0.</t>
  </si>
  <si>
    <t>Onglet 1.</t>
  </si>
  <si>
    <t>Onglet 2.</t>
  </si>
  <si>
    <t>Onglet 3.</t>
  </si>
  <si>
    <t>Onglet 4.</t>
  </si>
  <si>
    <t>Onglet 5.1</t>
  </si>
  <si>
    <t>Onglet 5.</t>
  </si>
  <si>
    <t>Résumé</t>
  </si>
  <si>
    <t>Type d'onglets</t>
  </si>
  <si>
    <t>A remplir avec le document de collecte de données</t>
  </si>
  <si>
    <t>Localisation du personnel</t>
  </si>
  <si>
    <t>Infrastructure des logiciels Cyber</t>
  </si>
  <si>
    <t>Cartographie des dispositifs Cyber</t>
  </si>
  <si>
    <t>Cartographie du réseau</t>
  </si>
  <si>
    <t>Cartographie des serveurs de sauvegarde</t>
  </si>
  <si>
    <t>Cartographie des services externes</t>
  </si>
  <si>
    <t>Cartographie des voyages</t>
  </si>
  <si>
    <t>Cartographie des équipements Non-Cyber</t>
  </si>
  <si>
    <t>Mix électrique</t>
  </si>
  <si>
    <t>Facteurs d'émission</t>
  </si>
  <si>
    <t>Hypothèses</t>
  </si>
  <si>
    <t>Tableau de bord - Par contrôle</t>
  </si>
  <si>
    <t>Tableau de bord - Par Sujet</t>
  </si>
  <si>
    <t>Tableau de bord - Par catégorie</t>
  </si>
  <si>
    <t>Plan d'action</t>
  </si>
  <si>
    <t>Exigence simplifiée</t>
  </si>
  <si>
    <r>
      <t xml:space="preserve">Solutions Cyber dédiées </t>
    </r>
    <r>
      <rPr>
        <b/>
        <sz val="16"/>
        <rFont val="Arial"/>
        <family val="2"/>
        <scheme val="minor"/>
      </rPr>
      <t>hébergées sur le Cloud</t>
    </r>
    <r>
      <rPr>
        <sz val="16"/>
        <rFont val="Arial"/>
        <family val="2"/>
        <scheme val="minor"/>
      </rPr>
      <t xml:space="preserve"> (IaaS / SaaS...)</t>
    </r>
  </si>
  <si>
    <t>Consommation : facteur CPU (kWh/an/unité)</t>
  </si>
  <si>
    <t>Fabrication d'un disque dur/ HDD (kgCO₂e)</t>
  </si>
  <si>
    <t>Fabrication d'un SSD (kgCO2e/GB)</t>
  </si>
  <si>
    <t>Colonne1</t>
  </si>
  <si>
    <t>Capacité</t>
  </si>
  <si>
    <t>Émissions SSD selon Datavizta</t>
  </si>
  <si>
    <t>k$ acheté</t>
  </si>
  <si>
    <t>[Serveurs] Émissions liées à la fabrication (kgCO₂e/unité)</t>
  </si>
  <si>
    <t xml:space="preserve"> [Serveurs] RAM (GB)</t>
  </si>
  <si>
    <t>[Serveurs] Émissions de fabrication : facteur RAM (kgCO₂e/Go)</t>
  </si>
  <si>
    <t>Contrôles NIST présélectionnés</t>
  </si>
  <si>
    <t>Explications sur les onglets</t>
  </si>
  <si>
    <t>Firewall/WAF dans toute l'entreprise</t>
  </si>
  <si>
    <t xml:space="preserve">IPS/IDS dans toute l'entreprise </t>
  </si>
  <si>
    <t>Poste de travail ordinateur portable</t>
  </si>
  <si>
    <t>Bahreïn</t>
  </si>
  <si>
    <t>Cambodge</t>
  </si>
  <si>
    <t>Haïti</t>
  </si>
  <si>
    <t>Antilles néerlandaises</t>
  </si>
  <si>
    <t>Etude Wavestone basée sur la base de données ADEME/Base de données Negaoctet</t>
  </si>
  <si>
    <t>Réseau fixe/mobile</t>
  </si>
  <si>
    <t>Poste de travail ordinateur de bureau</t>
  </si>
  <si>
    <t>Émissions des dispositifs Cyber kgCO2e</t>
  </si>
  <si>
    <t>Mix électrique (kgCO2e/kWh)</t>
  </si>
  <si>
    <t>Mix électrique (kgCO2e / kWh)</t>
  </si>
  <si>
    <t>Consommation électrique et émissions en kgCO₂e des téléphones professionnels</t>
  </si>
  <si>
    <r>
      <t xml:space="preserve">Les </t>
    </r>
    <r>
      <rPr>
        <b/>
        <sz val="11"/>
        <color theme="1"/>
        <rFont val="Arial"/>
        <family val="2"/>
        <scheme val="minor"/>
      </rPr>
      <t xml:space="preserve">petites organisations </t>
    </r>
    <r>
      <rPr>
        <sz val="11"/>
        <color theme="1"/>
        <rFont val="Arial"/>
        <family val="2"/>
        <scheme val="minor"/>
      </rPr>
      <t>peuvent se limiter à renseigner uniquement les données pertinentes pour leur environnement.</t>
    </r>
  </si>
  <si>
    <t>Personnel Cyber: Intensité carbone moyenne du mix électrique (kgCO2e/kWh)</t>
  </si>
  <si>
    <t>Indiquer toujours ce qui précède lorsque vous utilisez la méthodologie pour citer les auteurs.</t>
  </si>
  <si>
    <r>
      <t xml:space="preserve">Veuillez lire l'onglet </t>
    </r>
    <r>
      <rPr>
        <b/>
        <sz val="11"/>
        <color theme="1"/>
        <rFont val="Arial"/>
        <family val="2"/>
        <scheme val="minor"/>
      </rPr>
      <t>LISEZ-MOI</t>
    </r>
    <r>
      <rPr>
        <sz val="11"/>
        <color theme="1"/>
        <rFont val="Arial"/>
        <family val="2"/>
        <scheme val="minor"/>
      </rPr>
      <t>.</t>
    </r>
  </si>
  <si>
    <t>Cette méthode a été créée pour calculer les émissions carbone de la cybersécurité.</t>
  </si>
  <si>
    <t>Elle est basée sur les recommandations du NIST en matière de cybersécurité.</t>
  </si>
  <si>
    <t>L'outil existe également en anglais.</t>
  </si>
  <si>
    <t xml:space="preserve">Vous devez collecter vos données dans le premier document, puis les reporter dans le second pour obtenir les calculs. </t>
  </si>
  <si>
    <t>Les données collectées vous aideront à couvrir les différents aspects des contrôles NIST présélectionnés. Les onglets de cartographie vous permettront d'associer les catégories de données à chaque contrôle NIST ou à des catégories IT.</t>
  </si>
  <si>
    <t>Les onglets du tableau de bord permettent de visualiser facilement les résultats et de faire des rapports.</t>
  </si>
  <si>
    <t>Vous pouvez appliquer la méthodologie à l'ensemble de votre entreprise ou à une entité représentative. Dans ce cas, vous pouvez utiliser un facteur multiplicateur pour estimer les émissions de l'ensemble de l'entreprise.</t>
  </si>
  <si>
    <t>Il s'agit du document de calcul. Vous pouvez le remplir avec les données collectées dans le document de collecte de données.</t>
  </si>
  <si>
    <t>LISEZ-MOI - Lignes directrices pour remplir l'outil Excel</t>
  </si>
  <si>
    <r>
      <t>Vous pouvez ajouter un indicateur de</t>
    </r>
    <r>
      <rPr>
        <b/>
        <sz val="11"/>
        <color theme="1"/>
        <rFont val="Arial"/>
        <family val="2"/>
        <scheme val="minor"/>
      </rPr>
      <t xml:space="preserve"> niveau d'incertitude</t>
    </r>
    <r>
      <rPr>
        <sz val="11"/>
        <color theme="1"/>
        <rFont val="Arial"/>
        <family val="2"/>
        <scheme val="minor"/>
      </rPr>
      <t xml:space="preserve"> pour vos données.</t>
    </r>
  </si>
  <si>
    <t>Personnel monde</t>
  </si>
  <si>
    <t>Intensité carbone du mix électrique par zone géographique (kgCO2e/kWh)</t>
  </si>
  <si>
    <t>Les contrôles présélectionnés se trouvent dans l'onglet "Référentiel"</t>
  </si>
  <si>
    <t>Émissions totales Dispositifs (kgCO2e)</t>
  </si>
  <si>
    <r>
      <t xml:space="preserve">La méthodologie est composée de deux documents : </t>
    </r>
    <r>
      <rPr>
        <b/>
        <sz val="11"/>
        <color theme="1"/>
        <rFont val="Arial"/>
        <family val="2"/>
        <scheme val="minor"/>
      </rPr>
      <t>Outil FR V2 - Cybersustainability_Collecte de données</t>
    </r>
    <r>
      <rPr>
        <sz val="11"/>
        <color theme="1"/>
        <rFont val="Arial"/>
        <family val="2"/>
        <scheme val="minor"/>
      </rPr>
      <t xml:space="preserve"> et </t>
    </r>
    <r>
      <rPr>
        <b/>
        <sz val="11"/>
        <color theme="1"/>
        <rFont val="Arial"/>
        <family val="2"/>
        <scheme val="minor"/>
      </rPr>
      <t>Outil FR V2 - Cybersustainability_Calculs Emissions</t>
    </r>
    <r>
      <rPr>
        <sz val="11"/>
        <color theme="1"/>
        <rFont val="Arial"/>
        <family val="2"/>
        <scheme val="minor"/>
      </rPr>
      <t>.</t>
    </r>
  </si>
  <si>
    <t>Onglet de plan d'action</t>
  </si>
  <si>
    <t>Onglets de présentation de la méthodologie</t>
  </si>
  <si>
    <t>Onglets de calcul carbone</t>
  </si>
  <si>
    <t>Onglets de tableaux de bord et représentations graphiques</t>
  </si>
  <si>
    <t>Onglets d'hypothèses et facteurs d'émission</t>
  </si>
  <si>
    <t>Onglets de cartographie avec plusieurs référentiels</t>
  </si>
  <si>
    <t>Cartographie de l'infrastructure et des logiciels Cyber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</si>
</sst>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
    <numFmt numFmtId="166" formatCode="_-* #,##0_-;\-* #,##0_-;_-* &quot;-&quot;??_-;_-@_-"/>
    <numFmt numFmtId="167" formatCode="0.0%"/>
    <numFmt numFmtId="168" formatCode="#,##0\ &quot;€&quot;"/>
  </numFmts>
  <fonts count="39" x14ac:knownFonts="1">
    <font>
      <sz val="11"/>
      <color theme="1"/>
      <name val="Arial"/>
      <family val="2"/>
      <scheme val="minor"/>
    </font>
    <font>
      <b/>
      <sz val="11"/>
      <color theme="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b/>
      <sz val="12"/>
      <color theme="0"/>
      <name val="Arial"/>
      <family val="2"/>
      <scheme val="minor"/>
    </font>
    <font>
      <sz val="9"/>
      <color indexed="81"/>
      <name val="Tahoma"/>
      <family val="2"/>
    </font>
    <font>
      <sz val="11"/>
      <color rgb="FF000000"/>
      <name val="Arial"/>
      <family val="2"/>
      <scheme val="minor"/>
    </font>
    <font>
      <b/>
      <sz val="11"/>
      <color rgb="FFFFFFFF"/>
      <name val="Arial"/>
      <family val="2"/>
      <scheme val="minor"/>
    </font>
    <font>
      <i/>
      <sz val="11"/>
      <color theme="1"/>
      <name val="Arial"/>
      <family val="2"/>
      <scheme val="minor"/>
    </font>
    <font>
      <sz val="11"/>
      <name val="Arial"/>
      <family val="2"/>
      <scheme val="minor"/>
    </font>
    <font>
      <sz val="11"/>
      <color theme="1"/>
      <name val="Arial"/>
      <family val="2"/>
      <scheme val="minor"/>
    </font>
    <font>
      <sz val="8"/>
      <name val="Arial"/>
      <family val="2"/>
      <scheme val="minor"/>
    </font>
    <font>
      <sz val="11"/>
      <color theme="1"/>
      <name val="Calibri"/>
      <family val="2"/>
    </font>
    <font>
      <sz val="11"/>
      <color theme="0" tint="-0.34998626667073579"/>
      <name val="Arial"/>
      <family val="2"/>
      <scheme val="minor"/>
    </font>
    <font>
      <sz val="11"/>
      <color theme="1"/>
      <name val="Calibri"/>
      <family val="2"/>
    </font>
    <font>
      <sz val="11"/>
      <color theme="0" tint="-0.499984740745262"/>
      <name val="Arial"/>
      <family val="2"/>
      <scheme val="minor"/>
    </font>
    <font>
      <b/>
      <sz val="18"/>
      <color theme="1"/>
      <name val="Arial"/>
      <family val="2"/>
      <scheme val="minor"/>
    </font>
    <font>
      <sz val="12"/>
      <name val="Arial"/>
      <family val="2"/>
      <scheme val="minor"/>
    </font>
    <font>
      <sz val="16"/>
      <name val="Arial"/>
      <family val="2"/>
      <scheme val="minor"/>
    </font>
    <font>
      <b/>
      <sz val="16"/>
      <name val="Arial"/>
      <family val="2"/>
      <scheme val="minor"/>
    </font>
    <font>
      <b/>
      <u/>
      <sz val="11"/>
      <name val="Arial"/>
      <family val="2"/>
      <scheme val="minor"/>
    </font>
    <font>
      <b/>
      <sz val="16"/>
      <color rgb="FFFF0000"/>
      <name val="Arial"/>
      <family val="2"/>
      <scheme val="minor"/>
    </font>
    <font>
      <sz val="11"/>
      <color rgb="FF00B050"/>
      <name val="Arial"/>
      <family val="2"/>
      <scheme val="minor"/>
    </font>
    <font>
      <sz val="11"/>
      <color rgb="FFFF0000"/>
      <name val="Arial"/>
      <family val="2"/>
      <scheme val="minor"/>
    </font>
    <font>
      <b/>
      <sz val="12"/>
      <color indexed="9"/>
      <name val="Arial"/>
      <family val="2"/>
      <scheme val="minor"/>
    </font>
    <font>
      <b/>
      <sz val="11"/>
      <color rgb="FFFF0000"/>
      <name val="Arial"/>
      <family val="2"/>
      <scheme val="minor"/>
    </font>
    <font>
      <sz val="11"/>
      <color theme="2" tint="-9.9978637043366805E-2"/>
      <name val="Arial"/>
      <family val="2"/>
      <scheme val="minor"/>
    </font>
    <font>
      <sz val="16"/>
      <color rgb="FF000000"/>
      <name val="Arial"/>
      <family val="2"/>
      <scheme val="minor"/>
    </font>
    <font>
      <b/>
      <sz val="16"/>
      <color rgb="FF000000"/>
      <name val="Arial"/>
      <family val="2"/>
      <scheme val="minor"/>
    </font>
    <font>
      <sz val="11"/>
      <color theme="5"/>
      <name val="Arial"/>
      <family val="2"/>
      <scheme val="minor"/>
    </font>
    <font>
      <b/>
      <sz val="11"/>
      <color theme="5"/>
      <name val="Arial"/>
      <family val="2"/>
      <scheme val="minor"/>
    </font>
    <font>
      <b/>
      <sz val="11"/>
      <name val="Arial"/>
      <family val="2"/>
      <scheme val="minor"/>
    </font>
    <font>
      <sz val="18"/>
      <color theme="1"/>
      <name val="Arial"/>
      <family val="2"/>
      <scheme val="minor"/>
    </font>
    <font>
      <b/>
      <sz val="18"/>
      <color rgb="FFFF0000"/>
      <name val="Arial"/>
      <family val="2"/>
      <scheme val="minor"/>
    </font>
    <font>
      <b/>
      <sz val="20"/>
      <color theme="1"/>
      <name val="Arial"/>
      <family val="2"/>
      <scheme val="minor"/>
    </font>
    <font>
      <sz val="20"/>
      <color theme="1"/>
      <name val="Arial"/>
      <family val="2"/>
      <scheme val="minor"/>
    </font>
    <font>
      <b/>
      <sz val="11"/>
      <color indexed="9"/>
      <name val="Arial"/>
      <family val="2"/>
      <scheme val="minor"/>
    </font>
    <font>
      <b/>
      <sz val="12"/>
      <color rgb="FF000000"/>
      <name val="Arial"/>
      <family val="2"/>
      <scheme val="minor"/>
    </font>
  </fonts>
  <fills count="2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rgb="FF7030A0"/>
        <bgColor indexed="64"/>
      </patternFill>
    </fill>
    <fill>
      <patternFill patternType="solid">
        <fgColor rgb="FF002060"/>
        <bgColor indexed="64"/>
      </patternFill>
    </fill>
    <fill>
      <patternFill patternType="solid">
        <fgColor rgb="FFC3BBEB"/>
        <bgColor indexed="64"/>
      </patternFill>
    </fill>
    <fill>
      <patternFill patternType="solid">
        <fgColor theme="7" tint="0.79998168889431442"/>
        <bgColor indexed="64"/>
      </patternFill>
    </fill>
    <fill>
      <patternFill patternType="solid">
        <fgColor rgb="FF5B9BD5"/>
        <bgColor rgb="FF5B9BD5"/>
      </patternFill>
    </fill>
    <fill>
      <patternFill patternType="solid">
        <fgColor rgb="FFFFFFFF"/>
        <bgColor rgb="FF000000"/>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bgColor rgb="FFB24669"/>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CCCC"/>
        <bgColor indexed="64"/>
      </patternFill>
    </fill>
    <fill>
      <patternFill patternType="solid">
        <fgColor theme="3"/>
        <bgColor indexed="64"/>
      </patternFill>
    </fill>
    <fill>
      <patternFill patternType="solid">
        <fgColor theme="5" tint="-0.249977111117893"/>
        <bgColor indexed="64"/>
      </patternFill>
    </fill>
    <fill>
      <patternFill patternType="solid">
        <fgColor theme="7"/>
        <bgColor indexed="64"/>
      </patternFill>
    </fill>
    <fill>
      <patternFill patternType="solid">
        <fgColor theme="4" tint="0.79998168889431442"/>
        <bgColor indexed="64"/>
      </patternFill>
    </fill>
    <fill>
      <patternFill patternType="solid">
        <fgColor theme="4" tint="0.59999389629810485"/>
        <bgColor rgb="FFB24669"/>
      </patternFill>
    </fill>
    <fill>
      <patternFill patternType="solid">
        <fgColor theme="4" tint="-0.249977111117893"/>
        <bgColor rgb="FFB24669"/>
      </patternFill>
    </fill>
    <fill>
      <patternFill patternType="solid">
        <fgColor theme="4"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right style="thin">
        <color theme="0" tint="-0.499984740745262"/>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theme="0" tint="-0.499984740745262"/>
      </bottom>
      <diagonal/>
    </border>
    <border>
      <left style="thin">
        <color theme="0" tint="-0.499984740745262"/>
      </left>
      <right/>
      <top/>
      <bottom/>
      <diagonal/>
    </border>
    <border>
      <left/>
      <right/>
      <top/>
      <bottom style="thin">
        <color rgb="FF808080"/>
      </bottom>
      <diagonal/>
    </border>
    <border>
      <left/>
      <right/>
      <top style="thin">
        <color theme="1"/>
      </top>
      <bottom/>
      <diagonal/>
    </border>
    <border>
      <left/>
      <right/>
      <top style="thin">
        <color theme="0" tint="-0.499984740745262"/>
      </top>
      <bottom style="thin">
        <color theme="0" tint="-0.499984740745262"/>
      </bottom>
      <diagonal/>
    </border>
    <border>
      <left/>
      <right style="thin">
        <color theme="0" tint="-0.499984740745262"/>
      </right>
      <top/>
      <bottom style="thin">
        <color rgb="FF808080"/>
      </bottom>
      <diagonal/>
    </border>
    <border>
      <left style="thin">
        <color theme="0" tint="-0.499984740745262"/>
      </left>
      <right style="thin">
        <color theme="0" tint="-0.499984740745262"/>
      </right>
      <top/>
      <bottom style="thin">
        <color rgb="FF808080"/>
      </bottom>
      <diagonal/>
    </border>
    <border>
      <left style="thin">
        <color theme="1"/>
      </left>
      <right/>
      <top style="thin">
        <color theme="1"/>
      </top>
      <bottom/>
      <diagonal/>
    </border>
    <border>
      <left style="thin">
        <color theme="1"/>
      </left>
      <right/>
      <top style="thin">
        <color theme="1"/>
      </top>
      <bottom style="thin">
        <color theme="1"/>
      </bottom>
      <diagonal/>
    </border>
    <border>
      <left style="thin">
        <color theme="1"/>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top/>
      <bottom/>
      <diagonal/>
    </border>
  </borders>
  <cellStyleXfs count="4">
    <xf numFmtId="0" fontId="0" fillId="0" borderId="0"/>
    <xf numFmtId="0" fontId="4" fillId="0" borderId="0" applyNumberFormat="0" applyFill="0" applyBorder="0" applyAlignment="0" applyProtection="0"/>
    <xf numFmtId="43" fontId="11" fillId="0" borderId="0" applyFont="0" applyFill="0" applyBorder="0" applyAlignment="0" applyProtection="0"/>
    <xf numFmtId="9" fontId="11" fillId="0" borderId="0" applyFont="0" applyFill="0" applyBorder="0" applyAlignment="0" applyProtection="0"/>
  </cellStyleXfs>
  <cellXfs count="340">
    <xf numFmtId="0" fontId="0" fillId="0" borderId="0" xfId="0"/>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Alignment="1">
      <alignment vertical="center"/>
    </xf>
    <xf numFmtId="0" fontId="0" fillId="2" borderId="0" xfId="0" applyFill="1" applyAlignment="1">
      <alignment vertical="center"/>
    </xf>
    <xf numFmtId="0" fontId="0" fillId="0" borderId="0" xfId="0" applyAlignment="1">
      <alignment vertical="center" wrapText="1"/>
    </xf>
    <xf numFmtId="0" fontId="3" fillId="5" borderId="0" xfId="0" applyFont="1" applyFill="1" applyAlignment="1">
      <alignment vertical="center" wrapText="1"/>
    </xf>
    <xf numFmtId="0" fontId="0" fillId="6" borderId="0" xfId="0" applyFill="1" applyAlignment="1">
      <alignment vertical="center"/>
    </xf>
    <xf numFmtId="0" fontId="0" fillId="6" borderId="0" xfId="0" applyFill="1" applyAlignment="1">
      <alignment horizontal="center" vertical="center"/>
    </xf>
    <xf numFmtId="1" fontId="0" fillId="6" borderId="0" xfId="0" applyNumberFormat="1" applyFill="1" applyAlignment="1">
      <alignment horizontal="center" vertical="center"/>
    </xf>
    <xf numFmtId="0" fontId="4" fillId="6" borderId="0" xfId="1" applyFill="1" applyBorder="1" applyAlignment="1">
      <alignment vertical="center"/>
    </xf>
    <xf numFmtId="2" fontId="0" fillId="6" borderId="0" xfId="0" applyNumberFormat="1" applyFill="1" applyAlignment="1">
      <alignment horizontal="center" vertical="center"/>
    </xf>
    <xf numFmtId="0" fontId="0" fillId="0" borderId="0" xfId="0" applyAlignment="1">
      <alignment horizontal="left" vertical="center" wrapText="1"/>
    </xf>
    <xf numFmtId="0" fontId="3" fillId="5" borderId="0" xfId="0" applyFont="1" applyFill="1" applyAlignment="1">
      <alignment vertical="center"/>
    </xf>
    <xf numFmtId="0" fontId="0" fillId="2" borderId="0" xfId="0" applyFill="1" applyAlignment="1">
      <alignment horizontal="center" vertical="center"/>
    </xf>
    <xf numFmtId="1" fontId="0" fillId="2" borderId="0" xfId="0" applyNumberFormat="1" applyFill="1" applyAlignment="1">
      <alignment horizontal="center" vertical="center"/>
    </xf>
    <xf numFmtId="0" fontId="4" fillId="2" borderId="0" xfId="1" applyFill="1" applyBorder="1" applyAlignment="1">
      <alignment vertical="center"/>
    </xf>
    <xf numFmtId="0" fontId="4" fillId="6" borderId="0" xfId="1" applyFill="1" applyAlignment="1">
      <alignment vertical="center"/>
    </xf>
    <xf numFmtId="0" fontId="7" fillId="0" borderId="0" xfId="0" applyFont="1"/>
    <xf numFmtId="0" fontId="8" fillId="8" borderId="0" xfId="0" applyFont="1" applyFill="1"/>
    <xf numFmtId="0" fontId="2" fillId="0" borderId="0" xfId="0" applyFont="1"/>
    <xf numFmtId="0" fontId="0" fillId="0" borderId="0" xfId="0" applyAlignment="1">
      <alignment wrapText="1"/>
    </xf>
    <xf numFmtId="0" fontId="3" fillId="0" borderId="0" xfId="0" applyFont="1" applyAlignment="1">
      <alignment vertical="center" wrapText="1"/>
    </xf>
    <xf numFmtId="0" fontId="10" fillId="0" borderId="0" xfId="0" applyFont="1" applyAlignment="1">
      <alignment vertical="center" wrapText="1"/>
    </xf>
    <xf numFmtId="0" fontId="13" fillId="0" borderId="0" xfId="0" applyFont="1" applyAlignment="1">
      <alignment vertical="center" wrapText="1"/>
    </xf>
    <xf numFmtId="0" fontId="0" fillId="0" borderId="3" xfId="0" applyBorder="1" applyAlignment="1">
      <alignment vertical="center" wrapText="1"/>
    </xf>
    <xf numFmtId="0" fontId="14" fillId="0" borderId="0" xfId="0" applyFont="1"/>
    <xf numFmtId="165" fontId="0" fillId="0" borderId="0" xfId="0" applyNumberFormat="1" applyAlignment="1">
      <alignment horizontal="center" vertical="center"/>
    </xf>
    <xf numFmtId="0" fontId="4" fillId="0" borderId="0" xfId="1" applyFill="1" applyAlignment="1">
      <alignment vertical="center"/>
    </xf>
    <xf numFmtId="0" fontId="4" fillId="0" borderId="0" xfId="1" applyFill="1" applyBorder="1" applyAlignment="1">
      <alignment vertical="center"/>
    </xf>
    <xf numFmtId="2" fontId="0" fillId="0" borderId="0" xfId="0" applyNumberFormat="1" applyAlignment="1">
      <alignment horizontal="center" vertical="center"/>
    </xf>
    <xf numFmtId="165" fontId="0" fillId="6" borderId="0" xfId="0" applyNumberFormat="1" applyFill="1" applyAlignment="1">
      <alignment horizontal="center" vertical="center"/>
    </xf>
    <xf numFmtId="0" fontId="0" fillId="6" borderId="0" xfId="0" applyFill="1" applyAlignment="1">
      <alignment horizontal="left" vertical="center" wrapText="1"/>
    </xf>
    <xf numFmtId="0" fontId="15" fillId="0" borderId="0" xfId="0" applyFont="1" applyAlignment="1">
      <alignment vertical="center" wrapText="1"/>
    </xf>
    <xf numFmtId="0" fontId="0" fillId="6" borderId="0" xfId="0" applyFill="1" applyAlignment="1">
      <alignment vertical="center" wrapText="1"/>
    </xf>
    <xf numFmtId="0" fontId="0" fillId="6" borderId="0" xfId="0" applyFill="1" applyAlignment="1">
      <alignment horizontal="center" vertical="center" wrapText="1"/>
    </xf>
    <xf numFmtId="0" fontId="0" fillId="2" borderId="0" xfId="0" applyFill="1" applyAlignment="1">
      <alignment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1" fontId="0" fillId="0" borderId="0" xfId="0" applyNumberFormat="1" applyAlignment="1">
      <alignment horizontal="center" vertical="center" wrapText="1"/>
    </xf>
    <xf numFmtId="1" fontId="0" fillId="6" borderId="0" xfId="0" applyNumberFormat="1" applyFill="1" applyAlignment="1">
      <alignment horizontal="center" vertical="center" wrapText="1"/>
    </xf>
    <xf numFmtId="0" fontId="4" fillId="0" borderId="0" xfId="1" applyBorder="1"/>
    <xf numFmtId="0" fontId="4" fillId="6" borderId="0" xfId="1" applyFill="1" applyBorder="1"/>
    <xf numFmtId="166" fontId="2" fillId="15" borderId="10" xfId="2" applyNumberFormat="1" applyFont="1" applyFill="1" applyBorder="1" applyAlignment="1">
      <alignment vertical="center" wrapText="1"/>
    </xf>
    <xf numFmtId="0" fontId="2" fillId="0" borderId="0" xfId="0" applyFont="1" applyAlignment="1">
      <alignment vertical="center"/>
    </xf>
    <xf numFmtId="0" fontId="3" fillId="13" borderId="6" xfId="0" applyFont="1" applyFill="1" applyBorder="1" applyAlignment="1">
      <alignment vertical="center" wrapText="1"/>
    </xf>
    <xf numFmtId="0" fontId="2" fillId="13" borderId="7" xfId="0" applyFont="1" applyFill="1" applyBorder="1"/>
    <xf numFmtId="0" fontId="1" fillId="13" borderId="18" xfId="0" applyFont="1" applyFill="1" applyBorder="1" applyAlignment="1">
      <alignment wrapText="1"/>
    </xf>
    <xf numFmtId="0" fontId="1" fillId="13" borderId="18" xfId="0" applyFont="1" applyFill="1" applyBorder="1" applyAlignment="1">
      <alignment vertical="center" wrapText="1"/>
    </xf>
    <xf numFmtId="0" fontId="1" fillId="13" borderId="6" xfId="0" applyFont="1" applyFill="1" applyBorder="1" applyAlignment="1">
      <alignment vertical="center" wrapText="1"/>
    </xf>
    <xf numFmtId="0" fontId="1" fillId="13" borderId="7" xfId="0" applyFont="1" applyFill="1" applyBorder="1" applyAlignment="1">
      <alignment vertical="center" wrapText="1"/>
    </xf>
    <xf numFmtId="1" fontId="10" fillId="12" borderId="13" xfId="0" applyNumberFormat="1" applyFont="1" applyFill="1" applyBorder="1"/>
    <xf numFmtId="1" fontId="0" fillId="12" borderId="13" xfId="0" applyNumberFormat="1" applyFill="1" applyBorder="1"/>
    <xf numFmtId="1" fontId="0" fillId="12" borderId="14" xfId="0" applyNumberFormat="1" applyFill="1" applyBorder="1"/>
    <xf numFmtId="2" fontId="10" fillId="12" borderId="13" xfId="0" applyNumberFormat="1" applyFont="1" applyFill="1" applyBorder="1"/>
    <xf numFmtId="0" fontId="4" fillId="0" borderId="0" xfId="1" applyAlignment="1">
      <alignment vertical="center"/>
    </xf>
    <xf numFmtId="0" fontId="1" fillId="4" borderId="1" xfId="0" applyFont="1" applyFill="1" applyBorder="1" applyAlignment="1">
      <alignment vertical="center"/>
    </xf>
    <xf numFmtId="0" fontId="1" fillId="4" borderId="2" xfId="0" applyFont="1" applyFill="1" applyBorder="1" applyAlignment="1">
      <alignment vertical="center"/>
    </xf>
    <xf numFmtId="0" fontId="0" fillId="6" borderId="19" xfId="0" applyFill="1" applyBorder="1" applyAlignment="1">
      <alignment vertical="center" wrapText="1"/>
    </xf>
    <xf numFmtId="0" fontId="0" fillId="6" borderId="20" xfId="0" applyFill="1" applyBorder="1" applyAlignment="1">
      <alignment vertical="center"/>
    </xf>
    <xf numFmtId="0" fontId="0" fillId="6" borderId="20" xfId="0" applyFill="1" applyBorder="1" applyAlignment="1">
      <alignment vertical="center" wrapText="1"/>
    </xf>
    <xf numFmtId="0" fontId="0" fillId="6" borderId="20" xfId="0" applyFill="1" applyBorder="1" applyAlignment="1">
      <alignment horizontal="left" vertical="center" wrapText="1"/>
    </xf>
    <xf numFmtId="0" fontId="0" fillId="6" borderId="20" xfId="0" applyFill="1" applyBorder="1" applyAlignment="1">
      <alignment horizontal="center" vertical="center"/>
    </xf>
    <xf numFmtId="167" fontId="0" fillId="0" borderId="0" xfId="3" applyNumberFormat="1" applyFont="1" applyAlignment="1">
      <alignment vertical="center"/>
    </xf>
    <xf numFmtId="0" fontId="9" fillId="0" borderId="0" xfId="0" applyFont="1" applyAlignment="1">
      <alignment vertical="center"/>
    </xf>
    <xf numFmtId="0" fontId="2" fillId="7" borderId="3" xfId="0" applyFont="1" applyFill="1" applyBorder="1" applyAlignment="1">
      <alignment vertical="center"/>
    </xf>
    <xf numFmtId="0" fontId="16" fillId="14" borderId="3" xfId="0" applyFont="1" applyFill="1" applyBorder="1" applyAlignment="1">
      <alignment vertical="center"/>
    </xf>
    <xf numFmtId="167" fontId="0" fillId="0" borderId="3" xfId="3" applyNumberFormat="1" applyFont="1" applyBorder="1" applyAlignment="1">
      <alignment vertical="center"/>
    </xf>
    <xf numFmtId="167" fontId="0" fillId="0" borderId="6" xfId="3" applyNumberFormat="1" applyFont="1" applyBorder="1" applyAlignment="1">
      <alignment vertical="center"/>
    </xf>
    <xf numFmtId="0" fontId="2" fillId="0" borderId="3" xfId="0" applyFont="1" applyBorder="1" applyAlignment="1">
      <alignment vertical="center"/>
    </xf>
    <xf numFmtId="167" fontId="2" fillId="0" borderId="3" xfId="0" applyNumberFormat="1" applyFont="1" applyBorder="1" applyAlignment="1">
      <alignment vertical="center"/>
    </xf>
    <xf numFmtId="0" fontId="17" fillId="0" borderId="0" xfId="0" applyFont="1" applyAlignment="1">
      <alignment vertical="center"/>
    </xf>
    <xf numFmtId="0" fontId="10" fillId="7" borderId="3" xfId="0" quotePrefix="1" applyFont="1" applyFill="1" applyBorder="1" applyAlignment="1">
      <alignment vertical="center" wrapText="1"/>
    </xf>
    <xf numFmtId="0" fontId="10" fillId="12" borderId="0" xfId="0" applyFont="1" applyFill="1" applyAlignment="1">
      <alignment vertical="center" wrapText="1"/>
    </xf>
    <xf numFmtId="0" fontId="3" fillId="13" borderId="4" xfId="0" applyFont="1" applyFill="1" applyBorder="1" applyAlignment="1">
      <alignment vertical="center" wrapText="1"/>
    </xf>
    <xf numFmtId="0" fontId="10" fillId="7" borderId="10" xfId="0" quotePrefix="1" applyFont="1" applyFill="1" applyBorder="1" applyAlignment="1">
      <alignment vertical="center" wrapText="1"/>
    </xf>
    <xf numFmtId="0" fontId="19" fillId="10" borderId="0" xfId="0" applyFont="1" applyFill="1" applyAlignment="1">
      <alignment vertical="center" wrapText="1"/>
    </xf>
    <xf numFmtId="0" fontId="20" fillId="16" borderId="0" xfId="0" applyFont="1" applyFill="1" applyAlignment="1">
      <alignment vertical="center" wrapText="1"/>
    </xf>
    <xf numFmtId="0" fontId="10" fillId="2" borderId="10" xfId="0" quotePrefix="1" applyFont="1" applyFill="1" applyBorder="1" applyAlignment="1">
      <alignment vertical="center" wrapText="1"/>
    </xf>
    <xf numFmtId="0" fontId="10" fillId="2" borderId="3" xfId="0" quotePrefix="1" applyFont="1" applyFill="1" applyBorder="1" applyAlignment="1">
      <alignment vertical="center" wrapText="1"/>
    </xf>
    <xf numFmtId="0" fontId="18" fillId="0" borderId="0" xfId="0" applyFont="1" applyAlignment="1">
      <alignment vertical="center" wrapText="1"/>
    </xf>
    <xf numFmtId="0" fontId="3" fillId="13" borderId="23" xfId="0" applyFont="1" applyFill="1" applyBorder="1" applyAlignment="1">
      <alignment vertical="center" wrapText="1"/>
    </xf>
    <xf numFmtId="0" fontId="3" fillId="13" borderId="26" xfId="0" applyFont="1" applyFill="1" applyBorder="1" applyAlignment="1">
      <alignment vertical="center" wrapText="1"/>
    </xf>
    <xf numFmtId="0" fontId="3" fillId="13" borderId="27" xfId="0" applyFont="1" applyFill="1" applyBorder="1" applyAlignment="1">
      <alignment vertical="center" wrapText="1"/>
    </xf>
    <xf numFmtId="0" fontId="0" fillId="12" borderId="0" xfId="0" applyFill="1" applyAlignment="1">
      <alignment vertical="center"/>
    </xf>
    <xf numFmtId="0" fontId="10" fillId="7" borderId="9" xfId="0" applyFont="1" applyFill="1" applyBorder="1"/>
    <xf numFmtId="0" fontId="10" fillId="7" borderId="3" xfId="0" applyFont="1" applyFill="1" applyBorder="1"/>
    <xf numFmtId="0" fontId="21" fillId="0" borderId="0" xfId="0" applyFont="1" applyAlignment="1">
      <alignment vertical="center" wrapText="1"/>
    </xf>
    <xf numFmtId="0" fontId="0" fillId="0" borderId="28" xfId="0" applyBorder="1"/>
    <xf numFmtId="0" fontId="1" fillId="13" borderId="4" xfId="0" applyFont="1" applyFill="1" applyBorder="1" applyAlignment="1">
      <alignment vertical="center" wrapText="1"/>
    </xf>
    <xf numFmtId="0" fontId="10" fillId="0" borderId="0" xfId="0" applyFont="1" applyAlignment="1">
      <alignment horizontal="center" vertical="center" wrapText="1"/>
    </xf>
    <xf numFmtId="0" fontId="10" fillId="12" borderId="9" xfId="0" applyFont="1" applyFill="1" applyBorder="1"/>
    <xf numFmtId="10" fontId="10" fillId="12" borderId="0" xfId="0" applyNumberFormat="1" applyFont="1" applyFill="1" applyAlignment="1">
      <alignment vertical="center" wrapText="1"/>
    </xf>
    <xf numFmtId="9" fontId="10" fillId="12" borderId="0" xfId="0" applyNumberFormat="1" applyFont="1" applyFill="1" applyAlignment="1">
      <alignment vertical="center" wrapText="1"/>
    </xf>
    <xf numFmtId="1" fontId="10" fillId="12" borderId="0" xfId="0" applyNumberFormat="1" applyFont="1" applyFill="1" applyAlignment="1">
      <alignment vertical="center" wrapText="1"/>
    </xf>
    <xf numFmtId="0" fontId="10" fillId="12" borderId="19" xfId="0" applyFont="1" applyFill="1" applyBorder="1" applyAlignment="1">
      <alignment vertical="center" wrapText="1"/>
    </xf>
    <xf numFmtId="0" fontId="10" fillId="12" borderId="3" xfId="0" applyFont="1" applyFill="1" applyBorder="1" applyAlignment="1">
      <alignment vertical="center" wrapText="1"/>
    </xf>
    <xf numFmtId="1" fontId="0" fillId="12" borderId="0" xfId="0" applyNumberFormat="1" applyFill="1" applyAlignment="1">
      <alignment vertical="center"/>
    </xf>
    <xf numFmtId="0" fontId="3" fillId="13" borderId="10" xfId="0" applyFont="1" applyFill="1" applyBorder="1"/>
    <xf numFmtId="0" fontId="0" fillId="0" borderId="30" xfId="0" applyBorder="1"/>
    <xf numFmtId="0" fontId="2" fillId="0" borderId="28" xfId="0" applyFont="1" applyBorder="1"/>
    <xf numFmtId="166" fontId="1" fillId="13" borderId="10" xfId="2" applyNumberFormat="1" applyFont="1" applyFill="1" applyBorder="1" applyAlignment="1">
      <alignment vertical="center" wrapText="1"/>
    </xf>
    <xf numFmtId="1" fontId="10" fillId="2" borderId="13" xfId="0" applyNumberFormat="1" applyFont="1" applyFill="1" applyBorder="1"/>
    <xf numFmtId="0" fontId="23" fillId="0" borderId="0" xfId="0" applyFont="1"/>
    <xf numFmtId="0" fontId="23" fillId="0" borderId="0" xfId="0" applyFont="1" applyAlignment="1">
      <alignment vertical="center" wrapText="1"/>
    </xf>
    <xf numFmtId="0" fontId="21" fillId="0" borderId="10" xfId="0" applyFont="1" applyBorder="1" applyAlignment="1">
      <alignment vertical="center" wrapText="1"/>
    </xf>
    <xf numFmtId="1" fontId="10" fillId="12" borderId="10" xfId="0" applyNumberFormat="1" applyFont="1" applyFill="1" applyBorder="1" applyAlignment="1">
      <alignment vertical="center" wrapText="1"/>
    </xf>
    <xf numFmtId="0" fontId="10" fillId="0" borderId="10" xfId="0" applyFont="1" applyBorder="1" applyAlignment="1">
      <alignment vertical="center" wrapText="1"/>
    </xf>
    <xf numFmtId="0" fontId="10" fillId="12" borderId="24" xfId="0" applyFont="1" applyFill="1" applyBorder="1" applyAlignment="1">
      <alignment vertical="center" wrapText="1"/>
    </xf>
    <xf numFmtId="1" fontId="0" fillId="12" borderId="10" xfId="0" applyNumberFormat="1" applyFill="1" applyBorder="1"/>
    <xf numFmtId="1" fontId="10" fillId="12" borderId="24" xfId="0" applyNumberFormat="1" applyFont="1" applyFill="1" applyBorder="1" applyAlignment="1">
      <alignment vertical="center" wrapText="1"/>
    </xf>
    <xf numFmtId="1" fontId="0" fillId="12" borderId="10" xfId="0" applyNumberFormat="1" applyFill="1" applyBorder="1" applyAlignment="1">
      <alignment vertical="center"/>
    </xf>
    <xf numFmtId="1" fontId="2" fillId="12" borderId="0" xfId="0" applyNumberFormat="1" applyFont="1" applyFill="1"/>
    <xf numFmtId="0" fontId="25" fillId="13" borderId="10" xfId="0" applyFont="1" applyFill="1" applyBorder="1"/>
    <xf numFmtId="0" fontId="0" fillId="7" borderId="10" xfId="0" applyFill="1" applyBorder="1"/>
    <xf numFmtId="0" fontId="0" fillId="2" borderId="10" xfId="0" applyFill="1" applyBorder="1"/>
    <xf numFmtId="0" fontId="0" fillId="12" borderId="10" xfId="0" applyFill="1" applyBorder="1"/>
    <xf numFmtId="0" fontId="24" fillId="20" borderId="10" xfId="0" applyFont="1" applyFill="1" applyBorder="1"/>
    <xf numFmtId="0" fontId="24" fillId="20" borderId="10" xfId="0" applyFont="1" applyFill="1" applyBorder="1" applyAlignment="1">
      <alignment vertical="center"/>
    </xf>
    <xf numFmtId="0" fontId="24" fillId="20" borderId="10" xfId="0" applyFont="1" applyFill="1" applyBorder="1" applyAlignment="1">
      <alignment vertical="center" wrapText="1"/>
    </xf>
    <xf numFmtId="0" fontId="10" fillId="12" borderId="10" xfId="0" quotePrefix="1" applyFont="1" applyFill="1" applyBorder="1" applyAlignment="1">
      <alignment vertical="center" wrapText="1"/>
    </xf>
    <xf numFmtId="0" fontId="10" fillId="12" borderId="3" xfId="0" quotePrefix="1" applyFont="1" applyFill="1" applyBorder="1" applyAlignment="1">
      <alignment vertical="center" wrapText="1"/>
    </xf>
    <xf numFmtId="0" fontId="10" fillId="12" borderId="18" xfId="0" applyFont="1" applyFill="1" applyBorder="1"/>
    <xf numFmtId="0" fontId="3" fillId="22" borderId="10" xfId="0" applyFont="1" applyFill="1" applyBorder="1"/>
    <xf numFmtId="0" fontId="3" fillId="22" borderId="10" xfId="0" applyFont="1" applyFill="1" applyBorder="1" applyAlignment="1">
      <alignment horizontal="center" vertical="center"/>
    </xf>
    <xf numFmtId="0" fontId="26" fillId="0" borderId="0" xfId="0" applyFont="1"/>
    <xf numFmtId="0" fontId="27" fillId="2" borderId="13" xfId="0" applyFont="1" applyFill="1" applyBorder="1"/>
    <xf numFmtId="0" fontId="25" fillId="5" borderId="10" xfId="0" applyFont="1" applyFill="1" applyBorder="1"/>
    <xf numFmtId="0" fontId="10" fillId="0" borderId="0" xfId="0" quotePrefix="1" applyFont="1" applyAlignment="1">
      <alignment vertical="center" wrapText="1"/>
    </xf>
    <xf numFmtId="0" fontId="10" fillId="0" borderId="0" xfId="0" quotePrefix="1" applyFont="1" applyAlignment="1">
      <alignment horizontal="center" vertical="center" wrapText="1"/>
    </xf>
    <xf numFmtId="0" fontId="3" fillId="13" borderId="4" xfId="0" quotePrefix="1" applyFont="1" applyFill="1" applyBorder="1" applyAlignment="1">
      <alignment vertical="center" wrapText="1"/>
    </xf>
    <xf numFmtId="0" fontId="10" fillId="2" borderId="10" xfId="0" applyFont="1" applyFill="1" applyBorder="1" applyAlignment="1">
      <alignment vertical="center" wrapText="1"/>
    </xf>
    <xf numFmtId="0" fontId="17" fillId="23" borderId="34" xfId="0" applyFont="1" applyFill="1" applyBorder="1" applyAlignment="1">
      <alignment vertical="center"/>
    </xf>
    <xf numFmtId="0" fontId="28" fillId="10" borderId="0" xfId="0" applyFont="1" applyFill="1" applyAlignment="1">
      <alignment vertical="center" wrapText="1"/>
    </xf>
    <xf numFmtId="2" fontId="0" fillId="6" borderId="0" xfId="0" applyNumberFormat="1" applyFill="1" applyAlignment="1">
      <alignment horizontal="center" vertical="center" wrapText="1"/>
    </xf>
    <xf numFmtId="2" fontId="0" fillId="6" borderId="0" xfId="0" applyNumberFormat="1" applyFill="1" applyAlignment="1">
      <alignment vertical="center" wrapText="1"/>
    </xf>
    <xf numFmtId="0" fontId="4" fillId="6" borderId="0" xfId="1" applyFill="1" applyAlignment="1">
      <alignment vertical="center" wrapText="1"/>
    </xf>
    <xf numFmtId="0" fontId="0" fillId="24" borderId="10" xfId="0" applyFill="1" applyBorder="1" applyAlignment="1">
      <alignment wrapText="1"/>
    </xf>
    <xf numFmtId="0" fontId="25" fillId="5" borderId="10" xfId="0" applyFont="1" applyFill="1" applyBorder="1" applyAlignment="1">
      <alignment vertical="center"/>
    </xf>
    <xf numFmtId="0" fontId="25" fillId="13" borderId="10" xfId="0" applyFont="1" applyFill="1" applyBorder="1" applyAlignment="1">
      <alignment vertical="center"/>
    </xf>
    <xf numFmtId="0" fontId="0" fillId="7" borderId="10" xfId="0" applyFill="1" applyBorder="1" applyAlignment="1">
      <alignment vertical="center" wrapText="1"/>
    </xf>
    <xf numFmtId="0" fontId="0" fillId="2" borderId="10" xfId="0" applyFill="1" applyBorder="1" applyAlignment="1">
      <alignment vertical="center" wrapText="1"/>
    </xf>
    <xf numFmtId="0" fontId="0" fillId="12" borderId="10" xfId="0" applyFill="1" applyBorder="1" applyAlignment="1">
      <alignment vertical="center" wrapText="1"/>
    </xf>
    <xf numFmtId="0" fontId="30" fillId="7" borderId="10" xfId="0" quotePrefix="1" applyFont="1" applyFill="1" applyBorder="1" applyAlignment="1">
      <alignment vertical="center" wrapText="1"/>
    </xf>
    <xf numFmtId="0" fontId="30" fillId="7" borderId="0" xfId="0" quotePrefix="1" applyFont="1" applyFill="1" applyAlignment="1">
      <alignment vertical="center" wrapText="1"/>
    </xf>
    <xf numFmtId="0" fontId="30" fillId="7" borderId="9" xfId="0" applyFont="1" applyFill="1" applyBorder="1"/>
    <xf numFmtId="0" fontId="30" fillId="7" borderId="3" xfId="0" applyFont="1" applyFill="1" applyBorder="1"/>
    <xf numFmtId="0" fontId="30" fillId="7" borderId="10" xfId="0" applyFont="1" applyFill="1" applyBorder="1" applyAlignment="1">
      <alignment vertical="center" wrapText="1"/>
    </xf>
    <xf numFmtId="0" fontId="30" fillId="7" borderId="3" xfId="0" quotePrefix="1" applyFont="1" applyFill="1" applyBorder="1" applyAlignment="1">
      <alignment vertical="center" wrapText="1"/>
    </xf>
    <xf numFmtId="0" fontId="30" fillId="7" borderId="3" xfId="0" applyFont="1" applyFill="1" applyBorder="1" applyAlignment="1">
      <alignment vertical="center" wrapText="1"/>
    </xf>
    <xf numFmtId="0" fontId="30" fillId="7" borderId="13" xfId="0" applyFont="1" applyFill="1" applyBorder="1"/>
    <xf numFmtId="1" fontId="30" fillId="7" borderId="14" xfId="0" applyNumberFormat="1" applyFont="1" applyFill="1" applyBorder="1"/>
    <xf numFmtId="1" fontId="30" fillId="7" borderId="13" xfId="0" applyNumberFormat="1" applyFont="1" applyFill="1" applyBorder="1"/>
    <xf numFmtId="0" fontId="1" fillId="13" borderId="12" xfId="0" applyFont="1" applyFill="1" applyBorder="1" applyAlignment="1">
      <alignment vertical="center" wrapText="1"/>
    </xf>
    <xf numFmtId="0" fontId="30" fillId="2" borderId="13" xfId="0" applyFont="1" applyFill="1" applyBorder="1" applyAlignment="1">
      <alignment vertical="center"/>
    </xf>
    <xf numFmtId="0" fontId="30" fillId="7" borderId="13" xfId="0" applyFont="1" applyFill="1" applyBorder="1" applyAlignment="1">
      <alignment vertical="center"/>
    </xf>
    <xf numFmtId="1" fontId="30" fillId="7" borderId="13" xfId="0" applyNumberFormat="1" applyFont="1" applyFill="1" applyBorder="1" applyAlignment="1">
      <alignment vertical="center"/>
    </xf>
    <xf numFmtId="1" fontId="30" fillId="2" borderId="13" xfId="0" applyNumberFormat="1" applyFont="1" applyFill="1" applyBorder="1" applyAlignment="1">
      <alignment vertical="center"/>
    </xf>
    <xf numFmtId="2" fontId="10" fillId="12" borderId="13" xfId="0" applyNumberFormat="1" applyFont="1" applyFill="1" applyBorder="1" applyAlignment="1">
      <alignment vertical="center"/>
    </xf>
    <xf numFmtId="1" fontId="10" fillId="12" borderId="13" xfId="0" applyNumberFormat="1" applyFont="1" applyFill="1" applyBorder="1" applyAlignment="1">
      <alignment vertical="center"/>
    </xf>
    <xf numFmtId="1" fontId="0" fillId="12" borderId="13" xfId="0" applyNumberFormat="1" applyFill="1" applyBorder="1" applyAlignment="1">
      <alignment vertical="center"/>
    </xf>
    <xf numFmtId="1" fontId="0" fillId="12" borderId="14" xfId="0" applyNumberFormat="1" applyFill="1" applyBorder="1" applyAlignment="1">
      <alignment vertical="center"/>
    </xf>
    <xf numFmtId="0" fontId="22" fillId="0" borderId="0" xfId="0" applyFont="1" applyAlignment="1">
      <alignment vertical="center"/>
    </xf>
    <xf numFmtId="168" fontId="30" fillId="7" borderId="13" xfId="0" applyNumberFormat="1" applyFont="1" applyFill="1" applyBorder="1" applyAlignment="1">
      <alignment vertical="center"/>
    </xf>
    <xf numFmtId="0" fontId="1" fillId="3" borderId="6" xfId="0" applyFont="1" applyFill="1" applyBorder="1" applyAlignment="1">
      <alignment vertical="center" wrapText="1"/>
    </xf>
    <xf numFmtId="0" fontId="1" fillId="3" borderId="7" xfId="0" applyFont="1" applyFill="1" applyBorder="1" applyAlignment="1">
      <alignment vertical="center" wrapText="1"/>
    </xf>
    <xf numFmtId="0" fontId="1" fillId="3" borderId="21" xfId="0" applyFont="1" applyFill="1" applyBorder="1" applyAlignment="1">
      <alignment vertical="center" wrapText="1"/>
    </xf>
    <xf numFmtId="1" fontId="10" fillId="12" borderId="21" xfId="0" applyNumberFormat="1" applyFont="1" applyFill="1" applyBorder="1" applyAlignment="1">
      <alignment vertical="center"/>
    </xf>
    <xf numFmtId="1" fontId="10" fillId="12" borderId="18" xfId="0" applyNumberFormat="1" applyFont="1" applyFill="1" applyBorder="1" applyAlignment="1">
      <alignment vertical="center"/>
    </xf>
    <xf numFmtId="1" fontId="10" fillId="12" borderId="25" xfId="0" applyNumberFormat="1" applyFont="1" applyFill="1" applyBorder="1" applyAlignment="1">
      <alignment vertical="center"/>
    </xf>
    <xf numFmtId="1" fontId="10" fillId="12" borderId="9" xfId="0" applyNumberFormat="1" applyFont="1" applyFill="1" applyBorder="1" applyAlignment="1">
      <alignment vertical="center"/>
    </xf>
    <xf numFmtId="1" fontId="10" fillId="12" borderId="17" xfId="0" applyNumberFormat="1" applyFont="1" applyFill="1" applyBorder="1" applyAlignment="1">
      <alignment vertical="center"/>
    </xf>
    <xf numFmtId="1" fontId="10" fillId="12" borderId="16" xfId="0" applyNumberFormat="1" applyFont="1" applyFill="1" applyBorder="1" applyAlignment="1">
      <alignment vertical="center"/>
    </xf>
    <xf numFmtId="0" fontId="1" fillId="3" borderId="22" xfId="0" applyFont="1" applyFill="1" applyBorder="1" applyAlignment="1">
      <alignment vertical="center" wrapText="1"/>
    </xf>
    <xf numFmtId="0" fontId="1" fillId="3" borderId="0" xfId="0" applyFont="1" applyFill="1" applyAlignment="1">
      <alignment vertical="center" wrapText="1"/>
    </xf>
    <xf numFmtId="0" fontId="30" fillId="7" borderId="9" xfId="0" applyFont="1" applyFill="1" applyBorder="1" applyAlignment="1">
      <alignment vertical="center"/>
    </xf>
    <xf numFmtId="0" fontId="30" fillId="7" borderId="3" xfId="0" applyFont="1" applyFill="1" applyBorder="1" applyAlignment="1">
      <alignment vertical="center"/>
    </xf>
    <xf numFmtId="0" fontId="30" fillId="7" borderId="5" xfId="0" applyFont="1" applyFill="1" applyBorder="1" applyAlignment="1">
      <alignment vertical="center"/>
    </xf>
    <xf numFmtId="0" fontId="30" fillId="2" borderId="5" xfId="0" applyFont="1" applyFill="1" applyBorder="1" applyAlignment="1">
      <alignment vertical="center"/>
    </xf>
    <xf numFmtId="0" fontId="30" fillId="7" borderId="16" xfId="0" applyFont="1" applyFill="1" applyBorder="1" applyAlignment="1">
      <alignment vertical="center"/>
    </xf>
    <xf numFmtId="0" fontId="30" fillId="7" borderId="15" xfId="0" applyFont="1" applyFill="1" applyBorder="1" applyAlignment="1">
      <alignment vertical="center"/>
    </xf>
    <xf numFmtId="0" fontId="30" fillId="2" borderId="15" xfId="0" applyFont="1" applyFill="1" applyBorder="1" applyAlignment="1">
      <alignment vertical="center"/>
    </xf>
    <xf numFmtId="0" fontId="30" fillId="7" borderId="10" xfId="0" applyFont="1" applyFill="1" applyBorder="1" applyAlignment="1">
      <alignment vertical="center"/>
    </xf>
    <xf numFmtId="0" fontId="30" fillId="2" borderId="10" xfId="0" applyFont="1" applyFill="1" applyBorder="1" applyAlignment="1">
      <alignment vertical="center"/>
    </xf>
    <xf numFmtId="0" fontId="10" fillId="12" borderId="18" xfId="0" applyFont="1" applyFill="1" applyBorder="1" applyAlignment="1">
      <alignment vertical="center"/>
    </xf>
    <xf numFmtId="0" fontId="10" fillId="2" borderId="9" xfId="0" applyFont="1" applyFill="1" applyBorder="1" applyAlignment="1">
      <alignment vertical="center"/>
    </xf>
    <xf numFmtId="0" fontId="10" fillId="12" borderId="9" xfId="0" applyFont="1" applyFill="1" applyBorder="1" applyAlignment="1">
      <alignment vertical="center"/>
    </xf>
    <xf numFmtId="0" fontId="1" fillId="13" borderId="16" xfId="0" applyFont="1" applyFill="1" applyBorder="1" applyAlignment="1">
      <alignment vertical="center" wrapText="1"/>
    </xf>
    <xf numFmtId="0" fontId="23" fillId="0" borderId="0" xfId="0" applyFont="1" applyAlignment="1">
      <alignment vertical="center"/>
    </xf>
    <xf numFmtId="2" fontId="30" fillId="12" borderId="13" xfId="0" applyNumberFormat="1" applyFont="1" applyFill="1" applyBorder="1" applyAlignment="1">
      <alignment vertical="center"/>
    </xf>
    <xf numFmtId="1" fontId="30" fillId="12" borderId="13" xfId="0" applyNumberFormat="1" applyFont="1" applyFill="1" applyBorder="1" applyAlignment="1">
      <alignment vertical="center"/>
    </xf>
    <xf numFmtId="1" fontId="30" fillId="12" borderId="14" xfId="0" applyNumberFormat="1" applyFont="1" applyFill="1" applyBorder="1" applyAlignment="1">
      <alignment vertical="center"/>
    </xf>
    <xf numFmtId="0" fontId="30" fillId="0" borderId="0" xfId="0" applyFont="1" applyAlignment="1">
      <alignment vertical="center"/>
    </xf>
    <xf numFmtId="1" fontId="30" fillId="12" borderId="24" xfId="0" applyNumberFormat="1" applyFont="1" applyFill="1" applyBorder="1" applyAlignment="1">
      <alignment vertical="center" wrapText="1"/>
    </xf>
    <xf numFmtId="1" fontId="31" fillId="12" borderId="0" xfId="0" applyNumberFormat="1" applyFont="1" applyFill="1" applyAlignment="1">
      <alignment vertical="center"/>
    </xf>
    <xf numFmtId="9" fontId="30" fillId="7" borderId="3" xfId="3" applyFont="1" applyFill="1" applyBorder="1" applyAlignment="1">
      <alignment vertical="center"/>
    </xf>
    <xf numFmtId="1" fontId="30" fillId="2" borderId="3" xfId="0" applyNumberFormat="1" applyFont="1" applyFill="1" applyBorder="1"/>
    <xf numFmtId="9" fontId="30" fillId="2" borderId="5" xfId="3" applyFont="1" applyFill="1" applyBorder="1"/>
    <xf numFmtId="9" fontId="30" fillId="7" borderId="3" xfId="0" applyNumberFormat="1" applyFont="1" applyFill="1" applyBorder="1" applyAlignment="1">
      <alignment vertical="center"/>
    </xf>
    <xf numFmtId="9" fontId="30" fillId="7" borderId="11" xfId="0" applyNumberFormat="1" applyFont="1" applyFill="1" applyBorder="1" applyAlignment="1">
      <alignment vertical="center"/>
    </xf>
    <xf numFmtId="9" fontId="30" fillId="12" borderId="0" xfId="3" applyFont="1" applyFill="1" applyBorder="1"/>
    <xf numFmtId="1" fontId="30" fillId="12" borderId="0" xfId="3" applyNumberFormat="1" applyFont="1" applyFill="1" applyBorder="1"/>
    <xf numFmtId="1" fontId="30" fillId="12" borderId="0" xfId="0" applyNumberFormat="1" applyFont="1" applyFill="1" applyAlignment="1">
      <alignment vertical="center"/>
    </xf>
    <xf numFmtId="0" fontId="30" fillId="12" borderId="0" xfId="0" applyFont="1" applyFill="1" applyAlignment="1">
      <alignment vertical="center"/>
    </xf>
    <xf numFmtId="1" fontId="30" fillId="12" borderId="0" xfId="0" applyNumberFormat="1" applyFont="1" applyFill="1" applyAlignment="1">
      <alignment vertical="center" wrapText="1"/>
    </xf>
    <xf numFmtId="0" fontId="30" fillId="0" borderId="0" xfId="0" applyFont="1"/>
    <xf numFmtId="0" fontId="30" fillId="2" borderId="9" xfId="0" applyFont="1" applyFill="1" applyBorder="1"/>
    <xf numFmtId="0" fontId="30" fillId="12" borderId="9" xfId="0" applyFont="1" applyFill="1" applyBorder="1"/>
    <xf numFmtId="0" fontId="30" fillId="12" borderId="0" xfId="0" applyFont="1" applyFill="1"/>
    <xf numFmtId="1" fontId="30" fillId="12" borderId="0" xfId="0" applyNumberFormat="1" applyFont="1" applyFill="1"/>
    <xf numFmtId="0" fontId="30" fillId="24" borderId="13" xfId="0" applyFont="1" applyFill="1" applyBorder="1" applyAlignment="1">
      <alignment vertical="center"/>
    </xf>
    <xf numFmtId="1" fontId="30" fillId="24" borderId="14" xfId="0" applyNumberFormat="1" applyFont="1" applyFill="1" applyBorder="1" applyAlignment="1">
      <alignment vertical="center"/>
    </xf>
    <xf numFmtId="1" fontId="30" fillId="24" borderId="13" xfId="0" applyNumberFormat="1" applyFont="1" applyFill="1" applyBorder="1" applyAlignment="1">
      <alignment vertical="center"/>
    </xf>
    <xf numFmtId="0" fontId="30" fillId="24" borderId="3" xfId="0" applyFont="1" applyFill="1" applyBorder="1" applyAlignment="1">
      <alignment vertical="center"/>
    </xf>
    <xf numFmtId="0" fontId="30" fillId="24" borderId="8" xfId="0" applyFont="1" applyFill="1" applyBorder="1" applyAlignment="1">
      <alignment vertical="center"/>
    </xf>
    <xf numFmtId="0" fontId="30" fillId="24" borderId="9" xfId="0" applyFont="1" applyFill="1" applyBorder="1" applyAlignment="1">
      <alignment vertical="center"/>
    </xf>
    <xf numFmtId="0" fontId="30" fillId="24" borderId="16" xfId="0" applyFont="1" applyFill="1" applyBorder="1" applyAlignment="1">
      <alignment vertical="center"/>
    </xf>
    <xf numFmtId="0" fontId="30" fillId="24" borderId="10" xfId="0" applyFont="1" applyFill="1" applyBorder="1" applyAlignment="1">
      <alignment vertical="center"/>
    </xf>
    <xf numFmtId="0" fontId="1" fillId="27" borderId="6" xfId="0" applyFont="1" applyFill="1" applyBorder="1" applyAlignment="1">
      <alignment horizontal="center" vertical="center" wrapText="1"/>
    </xf>
    <xf numFmtId="0" fontId="1" fillId="27" borderId="7" xfId="0" applyFont="1" applyFill="1" applyBorder="1" applyAlignment="1">
      <alignment horizontal="center" vertical="center" wrapText="1"/>
    </xf>
    <xf numFmtId="10" fontId="0" fillId="0" borderId="10" xfId="3" applyNumberFormat="1" applyFont="1" applyBorder="1" applyAlignment="1">
      <alignment vertical="center" wrapText="1"/>
    </xf>
    <xf numFmtId="9" fontId="0" fillId="0" borderId="10" xfId="3" applyFont="1" applyBorder="1" applyAlignment="1">
      <alignment vertical="center" wrapText="1"/>
    </xf>
    <xf numFmtId="167" fontId="0" fillId="0" borderId="10" xfId="3" applyNumberFormat="1" applyFont="1" applyBorder="1" applyAlignment="1">
      <alignment vertical="center"/>
    </xf>
    <xf numFmtId="0" fontId="26" fillId="20" borderId="10" xfId="0" applyFont="1" applyFill="1" applyBorder="1"/>
    <xf numFmtId="0" fontId="30" fillId="7" borderId="10" xfId="0" applyFont="1" applyFill="1" applyBorder="1" applyAlignment="1">
      <alignment wrapText="1"/>
    </xf>
    <xf numFmtId="0" fontId="30" fillId="24" borderId="10" xfId="0" applyFont="1" applyFill="1" applyBorder="1" applyAlignment="1">
      <alignment wrapText="1"/>
    </xf>
    <xf numFmtId="0" fontId="30" fillId="2" borderId="10" xfId="0" applyFont="1" applyFill="1" applyBorder="1" applyAlignment="1">
      <alignment wrapText="1"/>
    </xf>
    <xf numFmtId="0" fontId="30" fillId="12" borderId="10" xfId="0" applyFont="1" applyFill="1" applyBorder="1" applyAlignment="1">
      <alignment wrapText="1"/>
    </xf>
    <xf numFmtId="0" fontId="30" fillId="2" borderId="10" xfId="0" applyFont="1" applyFill="1" applyBorder="1" applyAlignment="1">
      <alignment vertical="center" wrapText="1"/>
    </xf>
    <xf numFmtId="0" fontId="30" fillId="12" borderId="10" xfId="0" applyFont="1" applyFill="1" applyBorder="1" applyAlignment="1">
      <alignment vertical="center" wrapText="1"/>
    </xf>
    <xf numFmtId="0" fontId="25" fillId="5" borderId="10" xfId="0" quotePrefix="1" applyFont="1" applyFill="1" applyBorder="1"/>
    <xf numFmtId="0" fontId="1" fillId="13" borderId="12" xfId="0" applyFont="1" applyFill="1" applyBorder="1" applyAlignment="1">
      <alignment vertical="center"/>
    </xf>
    <xf numFmtId="0" fontId="1" fillId="13" borderId="16" xfId="0" applyFont="1" applyFill="1" applyBorder="1" applyAlignment="1">
      <alignment vertical="center"/>
    </xf>
    <xf numFmtId="0" fontId="1" fillId="13" borderId="4" xfId="0" applyFont="1" applyFill="1" applyBorder="1" applyAlignment="1">
      <alignment vertical="center"/>
    </xf>
    <xf numFmtId="0" fontId="1" fillId="13" borderId="6" xfId="0" applyFont="1" applyFill="1" applyBorder="1" applyAlignment="1">
      <alignment vertical="center"/>
    </xf>
    <xf numFmtId="0" fontId="20" fillId="10" borderId="0" xfId="0" applyFont="1" applyFill="1" applyAlignment="1">
      <alignment vertical="center"/>
    </xf>
    <xf numFmtId="0" fontId="20" fillId="10" borderId="0" xfId="0" applyFont="1" applyFill="1" applyAlignment="1">
      <alignment vertical="center" wrapText="1"/>
    </xf>
    <xf numFmtId="165" fontId="10" fillId="12" borderId="10" xfId="0" applyNumberFormat="1" applyFont="1" applyFill="1" applyBorder="1" applyAlignment="1">
      <alignment vertical="center"/>
    </xf>
    <xf numFmtId="0" fontId="0" fillId="12" borderId="0" xfId="0" applyFill="1" applyAlignment="1">
      <alignment vertical="center" wrapText="1"/>
    </xf>
    <xf numFmtId="1" fontId="0" fillId="0" borderId="9" xfId="0" applyNumberFormat="1" applyBorder="1" applyAlignment="1">
      <alignment horizontal="center" vertical="center" wrapText="1"/>
    </xf>
    <xf numFmtId="0" fontId="0" fillId="0" borderId="5" xfId="0" applyBorder="1" applyAlignment="1">
      <alignment vertical="center" wrapText="1"/>
    </xf>
    <xf numFmtId="0" fontId="0" fillId="0" borderId="9" xfId="0" applyBorder="1" applyAlignment="1">
      <alignment horizontal="center" vertical="center" wrapText="1"/>
    </xf>
    <xf numFmtId="10" fontId="0" fillId="0" borderId="5" xfId="0" applyNumberFormat="1" applyBorder="1" applyAlignment="1">
      <alignment vertical="center" wrapText="1"/>
    </xf>
    <xf numFmtId="164" fontId="0" fillId="0" borderId="9" xfId="0" applyNumberFormat="1" applyBorder="1" applyAlignment="1">
      <alignment horizontal="center" vertical="center" wrapText="1"/>
    </xf>
    <xf numFmtId="0" fontId="0" fillId="0" borderId="16" xfId="0" applyBorder="1" applyAlignment="1">
      <alignment horizontal="center" vertical="center" wrapText="1"/>
    </xf>
    <xf numFmtId="0" fontId="0" fillId="0" borderId="8" xfId="0" applyBorder="1" applyAlignment="1">
      <alignment vertical="center" wrapText="1"/>
    </xf>
    <xf numFmtId="10" fontId="0" fillId="0" borderId="15" xfId="0" applyNumberFormat="1" applyBorder="1" applyAlignment="1">
      <alignment vertical="center" wrapText="1"/>
    </xf>
    <xf numFmtId="0" fontId="8" fillId="17" borderId="6" xfId="0" applyFont="1" applyFill="1" applyBorder="1" applyAlignment="1">
      <alignment horizontal="left" vertical="center" wrapText="1"/>
    </xf>
    <xf numFmtId="0" fontId="8" fillId="17" borderId="10" xfId="0" applyFont="1" applyFill="1" applyBorder="1" applyAlignment="1">
      <alignment horizontal="left" vertical="center" wrapText="1"/>
    </xf>
    <xf numFmtId="0" fontId="0" fillId="0" borderId="9" xfId="0" applyBorder="1" applyAlignment="1">
      <alignment vertical="center" wrapText="1"/>
    </xf>
    <xf numFmtId="0" fontId="0" fillId="0" borderId="5" xfId="0" quotePrefix="1" applyBorder="1" applyAlignment="1">
      <alignment vertical="center" wrapText="1"/>
    </xf>
    <xf numFmtId="0" fontId="0" fillId="0" borderId="16" xfId="0" applyBorder="1" applyAlignment="1">
      <alignment vertical="center" wrapText="1"/>
    </xf>
    <xf numFmtId="0" fontId="0" fillId="0" borderId="15" xfId="0" applyBorder="1" applyAlignment="1">
      <alignment vertical="center" wrapText="1"/>
    </xf>
    <xf numFmtId="0" fontId="0" fillId="0" borderId="10" xfId="0" applyBorder="1"/>
    <xf numFmtId="0" fontId="0" fillId="10" borderId="10" xfId="0" applyFill="1" applyBorder="1"/>
    <xf numFmtId="0" fontId="0" fillId="16" borderId="10" xfId="0" applyFill="1" applyBorder="1"/>
    <xf numFmtId="0" fontId="0" fillId="18" borderId="10" xfId="0" applyFill="1" applyBorder="1"/>
    <xf numFmtId="0" fontId="0" fillId="19" borderId="10" xfId="0" applyFill="1" applyBorder="1"/>
    <xf numFmtId="0" fontId="0" fillId="0" borderId="10" xfId="0" applyBorder="1" applyAlignment="1">
      <alignment vertical="center"/>
    </xf>
    <xf numFmtId="0" fontId="1" fillId="21" borderId="10" xfId="0" applyFont="1" applyFill="1" applyBorder="1"/>
    <xf numFmtId="0" fontId="1" fillId="5" borderId="10" xfId="0" applyFont="1" applyFill="1" applyBorder="1"/>
    <xf numFmtId="0" fontId="1" fillId="13" borderId="10" xfId="0" applyFont="1" applyFill="1" applyBorder="1"/>
    <xf numFmtId="0" fontId="33" fillId="0" borderId="0" xfId="0" applyFont="1"/>
    <xf numFmtId="0" fontId="36" fillId="0" borderId="0" xfId="0" applyFont="1"/>
    <xf numFmtId="0" fontId="0" fillId="13" borderId="18" xfId="0" applyFill="1" applyBorder="1"/>
    <xf numFmtId="0" fontId="0" fillId="13" borderId="6" xfId="0" applyFill="1" applyBorder="1"/>
    <xf numFmtId="0" fontId="0" fillId="15" borderId="5" xfId="0" applyFill="1" applyBorder="1"/>
    <xf numFmtId="0" fontId="0" fillId="15" borderId="15" xfId="0" applyFill="1" applyBorder="1"/>
    <xf numFmtId="0" fontId="37" fillId="13" borderId="10" xfId="0" applyFont="1" applyFill="1" applyBorder="1"/>
    <xf numFmtId="0" fontId="32" fillId="10" borderId="0" xfId="0" applyFont="1" applyFill="1" applyAlignment="1">
      <alignment vertical="center" wrapText="1"/>
    </xf>
    <xf numFmtId="0" fontId="4" fillId="0" borderId="0" xfId="1"/>
    <xf numFmtId="0" fontId="10" fillId="2" borderId="0" xfId="0" applyFont="1" applyFill="1" applyAlignment="1">
      <alignment wrapText="1"/>
    </xf>
    <xf numFmtId="0" fontId="10" fillId="9" borderId="0" xfId="0" applyFont="1" applyFill="1" applyAlignment="1">
      <alignment horizontal="center" vertical="center" wrapText="1"/>
    </xf>
    <xf numFmtId="0" fontId="10" fillId="0" borderId="0" xfId="0" applyFont="1"/>
    <xf numFmtId="0" fontId="10" fillId="0" borderId="0" xfId="0" quotePrefix="1" applyFont="1"/>
    <xf numFmtId="0" fontId="10" fillId="9" borderId="0" xfId="0" applyFont="1" applyFill="1" applyAlignment="1">
      <alignment horizontal="left" vertical="center" wrapText="1"/>
    </xf>
    <xf numFmtId="0" fontId="38" fillId="0" borderId="0" xfId="0" applyFont="1"/>
    <xf numFmtId="0" fontId="11" fillId="0" borderId="0" xfId="0" applyFont="1" applyAlignment="1">
      <alignment vertical="center" wrapText="1"/>
    </xf>
    <xf numFmtId="0" fontId="11" fillId="0" borderId="0" xfId="0" applyFont="1" applyAlignment="1">
      <alignment vertical="center"/>
    </xf>
    <xf numFmtId="1" fontId="11" fillId="0" borderId="0" xfId="0" applyNumberFormat="1" applyFont="1" applyAlignment="1">
      <alignment vertical="center" wrapText="1"/>
    </xf>
    <xf numFmtId="0" fontId="8" fillId="26" borderId="6" xfId="0" applyFont="1" applyFill="1" applyBorder="1" applyAlignment="1">
      <alignment horizontal="center" vertical="center" wrapText="1"/>
    </xf>
    <xf numFmtId="0" fontId="8" fillId="26" borderId="18" xfId="0" applyFont="1" applyFill="1" applyBorder="1" applyAlignment="1">
      <alignment horizontal="center" vertical="center" wrapText="1"/>
    </xf>
    <xf numFmtId="0" fontId="8" fillId="17" borderId="6" xfId="0" applyFont="1" applyFill="1" applyBorder="1" applyAlignment="1">
      <alignment horizontal="center" vertical="center" wrapText="1"/>
    </xf>
    <xf numFmtId="0" fontId="8" fillId="25" borderId="6" xfId="0" applyFont="1" applyFill="1" applyBorder="1" applyAlignment="1">
      <alignment horizontal="center" vertical="center" wrapText="1"/>
    </xf>
    <xf numFmtId="0" fontId="11" fillId="0" borderId="3" xfId="0" applyFont="1" applyBorder="1" applyAlignment="1">
      <alignment vertical="center" wrapText="1"/>
    </xf>
    <xf numFmtId="0" fontId="11" fillId="0" borderId="9" xfId="0" applyFont="1" applyBorder="1" applyAlignment="1">
      <alignment vertical="center" wrapText="1"/>
    </xf>
    <xf numFmtId="166" fontId="11" fillId="0" borderId="3" xfId="2" applyNumberFormat="1" applyFont="1" applyBorder="1" applyAlignment="1">
      <alignment vertical="center" wrapText="1"/>
    </xf>
    <xf numFmtId="167" fontId="11" fillId="0" borderId="5" xfId="3" applyNumberFormat="1" applyFont="1" applyBorder="1" applyAlignment="1">
      <alignment vertical="center" wrapText="1"/>
    </xf>
    <xf numFmtId="1" fontId="11" fillId="0" borderId="15" xfId="3" applyNumberFormat="1" applyFont="1" applyBorder="1" applyAlignment="1">
      <alignment vertical="center" wrapText="1"/>
    </xf>
    <xf numFmtId="167" fontId="11" fillId="0" borderId="15" xfId="3" applyNumberFormat="1" applyFont="1" applyBorder="1" applyAlignment="1">
      <alignment horizontal="left" vertical="center" wrapText="1"/>
    </xf>
    <xf numFmtId="0" fontId="11" fillId="0" borderId="8" xfId="3" applyNumberFormat="1" applyFont="1" applyBorder="1" applyAlignment="1">
      <alignment horizontal="left" vertical="center" wrapText="1"/>
    </xf>
    <xf numFmtId="0" fontId="11" fillId="0" borderId="3" xfId="0" quotePrefix="1" applyFont="1" applyBorder="1" applyAlignment="1">
      <alignment vertical="center" wrapText="1"/>
    </xf>
    <xf numFmtId="0" fontId="11" fillId="0" borderId="8" xfId="0" applyFont="1" applyBorder="1" applyAlignment="1">
      <alignment vertical="center" wrapText="1"/>
    </xf>
    <xf numFmtId="0" fontId="11" fillId="0" borderId="16" xfId="0" applyFont="1" applyBorder="1" applyAlignment="1">
      <alignment vertical="center" wrapText="1"/>
    </xf>
    <xf numFmtId="1" fontId="11" fillId="0" borderId="5" xfId="3" applyNumberFormat="1" applyFont="1" applyBorder="1" applyAlignment="1">
      <alignment vertical="center" wrapText="1"/>
    </xf>
    <xf numFmtId="167" fontId="11" fillId="0" borderId="5" xfId="3" applyNumberFormat="1" applyFont="1" applyBorder="1" applyAlignment="1">
      <alignment horizontal="left" vertical="center" wrapText="1"/>
    </xf>
    <xf numFmtId="0" fontId="11" fillId="0" borderId="3" xfId="3" applyNumberFormat="1" applyFont="1" applyBorder="1" applyAlignment="1">
      <alignment horizontal="left" vertical="center" wrapText="1"/>
    </xf>
    <xf numFmtId="0" fontId="0" fillId="0" borderId="29" xfId="0" applyBorder="1"/>
    <xf numFmtId="0" fontId="0" fillId="0" borderId="24" xfId="0" applyBorder="1"/>
    <xf numFmtId="1" fontId="0" fillId="0" borderId="10" xfId="0" applyNumberFormat="1" applyBorder="1"/>
    <xf numFmtId="0" fontId="8" fillId="17" borderId="3" xfId="0" applyFont="1" applyFill="1" applyBorder="1" applyAlignment="1">
      <alignment horizontal="center" vertical="center" wrapText="1"/>
    </xf>
    <xf numFmtId="1" fontId="0" fillId="0" borderId="0" xfId="0" applyNumberFormat="1"/>
    <xf numFmtId="9" fontId="0" fillId="0" borderId="0" xfId="0" applyNumberFormat="1"/>
    <xf numFmtId="1" fontId="0" fillId="0" borderId="0" xfId="0" applyNumberFormat="1" applyAlignment="1">
      <alignment wrapText="1"/>
    </xf>
    <xf numFmtId="0" fontId="0" fillId="13" borderId="0" xfId="0" applyFill="1"/>
    <xf numFmtId="0" fontId="8" fillId="17" borderId="37" xfId="0" applyFont="1" applyFill="1" applyBorder="1" applyAlignment="1">
      <alignment horizontal="center" vertical="center" wrapText="1"/>
    </xf>
    <xf numFmtId="0" fontId="8" fillId="17" borderId="38" xfId="0" applyFont="1" applyFill="1" applyBorder="1" applyAlignment="1">
      <alignment horizontal="center" vertical="center" wrapText="1"/>
    </xf>
    <xf numFmtId="0" fontId="8" fillId="17" borderId="39" xfId="0" applyFont="1" applyFill="1" applyBorder="1" applyAlignment="1">
      <alignment horizontal="center" vertical="center" wrapText="1"/>
    </xf>
    <xf numFmtId="0" fontId="0" fillId="0" borderId="35" xfId="0" applyBorder="1" applyAlignment="1">
      <alignment wrapText="1"/>
    </xf>
    <xf numFmtId="0" fontId="0" fillId="0" borderId="13" xfId="0" applyBorder="1"/>
    <xf numFmtId="1" fontId="0" fillId="0" borderId="36" xfId="0" applyNumberFormat="1" applyBorder="1"/>
    <xf numFmtId="0" fontId="0" fillId="0" borderId="35" xfId="0" applyBorder="1"/>
    <xf numFmtId="0" fontId="0" fillId="0" borderId="40" xfId="0" applyBorder="1"/>
    <xf numFmtId="0" fontId="0" fillId="0" borderId="14" xfId="0" applyBorder="1"/>
    <xf numFmtId="1" fontId="0" fillId="0" borderId="41" xfId="0" applyNumberFormat="1" applyBorder="1"/>
    <xf numFmtId="0" fontId="0" fillId="11" borderId="0" xfId="0" applyFill="1" applyAlignment="1">
      <alignment vertical="center"/>
    </xf>
    <xf numFmtId="0" fontId="8" fillId="17" borderId="10" xfId="0" applyFont="1" applyFill="1" applyBorder="1" applyAlignment="1">
      <alignment horizontal="center" vertical="center" wrapText="1"/>
    </xf>
    <xf numFmtId="9" fontId="0" fillId="14" borderId="3" xfId="0" applyNumberFormat="1" applyFill="1" applyBorder="1" applyAlignment="1">
      <alignment vertical="center"/>
    </xf>
    <xf numFmtId="0" fontId="0" fillId="7" borderId="3" xfId="0" applyFill="1" applyBorder="1" applyAlignment="1">
      <alignment vertical="center"/>
    </xf>
    <xf numFmtId="167" fontId="0" fillId="0" borderId="6" xfId="0" applyNumberFormat="1" applyBorder="1" applyAlignment="1">
      <alignment vertical="center"/>
    </xf>
    <xf numFmtId="2" fontId="0" fillId="2" borderId="0" xfId="0" applyNumberFormat="1" applyFill="1" applyAlignment="1">
      <alignment horizontal="center" vertical="center" wrapText="1"/>
    </xf>
    <xf numFmtId="0" fontId="4" fillId="2" borderId="0" xfId="1" applyFill="1" applyAlignment="1">
      <alignment vertical="center" wrapText="1"/>
    </xf>
    <xf numFmtId="2" fontId="0" fillId="2" borderId="0" xfId="0" applyNumberFormat="1" applyFill="1" applyAlignment="1">
      <alignment vertical="center" wrapText="1"/>
    </xf>
    <xf numFmtId="0" fontId="24" fillId="0" borderId="0" xfId="0" applyFont="1" applyAlignment="1">
      <alignment horizontal="center" vertical="top" wrapText="1"/>
    </xf>
    <xf numFmtId="0" fontId="2" fillId="12" borderId="0" xfId="0" applyFont="1" applyFill="1" applyAlignment="1">
      <alignment horizontal="center"/>
    </xf>
    <xf numFmtId="0" fontId="0" fillId="10" borderId="32" xfId="0" applyFill="1" applyBorder="1" applyAlignment="1">
      <alignment horizontal="center" vertical="center"/>
    </xf>
    <xf numFmtId="0" fontId="0" fillId="10" borderId="31" xfId="0" applyFill="1" applyBorder="1" applyAlignment="1">
      <alignment horizontal="center" vertical="center"/>
    </xf>
    <xf numFmtId="0" fontId="0" fillId="10" borderId="33" xfId="0" applyFill="1" applyBorder="1" applyAlignment="1">
      <alignment horizontal="center" vertical="center"/>
    </xf>
    <xf numFmtId="0" fontId="0" fillId="16" borderId="10" xfId="0" applyFill="1" applyBorder="1" applyAlignment="1">
      <alignment horizontal="center" vertical="center"/>
    </xf>
    <xf numFmtId="0" fontId="0" fillId="18" borderId="10" xfId="0" applyFill="1" applyBorder="1" applyAlignment="1">
      <alignment horizontal="center" vertical="center"/>
    </xf>
    <xf numFmtId="0" fontId="0" fillId="19" borderId="10" xfId="0" applyFill="1" applyBorder="1" applyAlignment="1">
      <alignment horizontal="center" vertical="center"/>
    </xf>
    <xf numFmtId="0" fontId="35" fillId="12" borderId="0" xfId="0" applyFont="1" applyFill="1" applyAlignment="1">
      <alignment horizontal="center" vertical="center"/>
    </xf>
    <xf numFmtId="0" fontId="34" fillId="0" borderId="0" xfId="0" applyFont="1" applyAlignment="1">
      <alignment horizontal="center" vertical="center"/>
    </xf>
    <xf numFmtId="0" fontId="1" fillId="13" borderId="10" xfId="0" applyFont="1" applyFill="1" applyBorder="1" applyAlignment="1">
      <alignment horizontal="left" vertical="center"/>
    </xf>
    <xf numFmtId="0" fontId="3" fillId="13" borderId="10" xfId="0" applyFont="1" applyFill="1" applyBorder="1" applyAlignment="1">
      <alignment horizontal="left" vertical="center"/>
    </xf>
    <xf numFmtId="0" fontId="5" fillId="4" borderId="0" xfId="0" applyFont="1" applyFill="1" applyAlignment="1">
      <alignment horizontal="left" vertical="center"/>
    </xf>
    <xf numFmtId="0" fontId="5" fillId="4" borderId="42" xfId="0" applyFont="1" applyFill="1" applyBorder="1" applyAlignment="1">
      <alignment horizontal="left" vertical="center"/>
    </xf>
    <xf numFmtId="0" fontId="1" fillId="4" borderId="1" xfId="0" applyFont="1" applyFill="1" applyBorder="1" applyAlignment="1">
      <alignment horizontal="left" vertical="center"/>
    </xf>
    <xf numFmtId="0" fontId="2" fillId="15" borderId="0" xfId="0" applyFont="1" applyFill="1" applyAlignment="1">
      <alignment horizontal="center" vertical="center" wrapText="1"/>
    </xf>
    <xf numFmtId="0" fontId="1" fillId="13" borderId="0" xfId="0" applyFont="1" applyFill="1" applyAlignment="1">
      <alignment horizontal="center"/>
    </xf>
  </cellXfs>
  <cellStyles count="4">
    <cellStyle name="Lien hypertexte" xfId="1" builtinId="8"/>
    <cellStyle name="Milliers" xfId="2" builtinId="3"/>
    <cellStyle name="Normal" xfId="0" builtinId="0"/>
    <cellStyle name="Pourcentage" xfId="3" builtinId="5"/>
  </cellStyles>
  <dxfs count="714">
    <dxf>
      <fill>
        <patternFill>
          <bgColor theme="7" tint="0.79998168889431442"/>
        </patternFill>
      </fill>
    </dxf>
    <dxf>
      <fill>
        <patternFill>
          <bgColor theme="7" tint="0.79998168889431442"/>
        </patternFill>
      </fill>
    </dxf>
    <dxf>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name val="Arial"/>
        <family val="2"/>
        <scheme val="minor"/>
      </font>
      <numFmt numFmtId="1" formatCode="0"/>
      <border diagonalUp="0" diagonalDown="0" outline="0">
        <left style="thin">
          <color rgb="FF000000"/>
        </left>
        <right/>
        <top style="thin">
          <color rgb="FF000000"/>
        </top>
        <bottom style="thin">
          <color rgb="FF000000"/>
        </bottom>
      </border>
    </dxf>
    <dxf>
      <font>
        <strike val="0"/>
        <outline val="0"/>
        <shadow val="0"/>
        <u val="none"/>
        <vertAlign val="baseline"/>
        <sz val="11"/>
        <name val="Arial"/>
        <family val="2"/>
        <scheme val="minor"/>
      </font>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name val="Arial"/>
        <family val="2"/>
        <scheme val="minor"/>
      </font>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name val="Arial"/>
        <family val="2"/>
        <scheme val="minor"/>
      </font>
    </dxf>
    <dxf>
      <border outline="0">
        <bottom style="thin">
          <color rgb="FF000000"/>
        </bottom>
      </border>
    </dxf>
    <dxf>
      <font>
        <strike val="0"/>
        <outline val="0"/>
        <shadow val="0"/>
        <u val="none"/>
        <vertAlign val="baseline"/>
        <sz val="11"/>
        <name val="Arial"/>
        <family val="2"/>
        <scheme val="minor"/>
      </font>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dxf>
    <dxf>
      <font>
        <strike val="0"/>
        <outline val="0"/>
        <shadow val="0"/>
        <u val="none"/>
        <vertAlign val="baseline"/>
        <sz val="11"/>
        <name val="Arial"/>
        <family val="2"/>
        <scheme val="minor"/>
      </font>
    </dxf>
    <dxf>
      <font>
        <strike val="0"/>
        <outline val="0"/>
        <shadow val="0"/>
        <u val="none"/>
        <vertAlign val="baseline"/>
        <sz val="11"/>
        <name val="Arial"/>
        <family val="2"/>
        <scheme val="minor"/>
      </font>
      <fill>
        <patternFill patternType="solid">
          <fgColor indexed="64"/>
          <bgColor theme="4"/>
        </patternFill>
      </fill>
    </dxf>
    <dxf>
      <font>
        <strike val="0"/>
        <outline val="0"/>
        <shadow val="0"/>
        <u val="none"/>
        <vertAlign val="baseline"/>
        <sz val="11"/>
        <name val="Arial"/>
        <family val="2"/>
        <scheme val="minor"/>
      </font>
      <numFmt numFmtId="13"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0" formatCode="General"/>
    </dxf>
    <dxf>
      <font>
        <strike val="0"/>
        <outline val="0"/>
        <shadow val="0"/>
        <u val="none"/>
        <vertAlign val="baseline"/>
        <sz val="11"/>
        <name val="Arial"/>
        <family val="2"/>
        <scheme val="minor"/>
      </font>
    </dxf>
    <dxf>
      <border outline="0">
        <bottom style="thin">
          <color theme="0" tint="-0.499984740745262"/>
        </bottom>
      </border>
    </dxf>
    <dxf>
      <font>
        <b/>
        <i val="0"/>
        <strike val="0"/>
        <condense val="0"/>
        <extend val="0"/>
        <outline val="0"/>
        <shadow val="0"/>
        <u val="none"/>
        <vertAlign val="baseline"/>
        <sz val="11"/>
        <color rgb="FFFFFFFF"/>
        <name val="Arial"/>
        <family val="2"/>
        <scheme val="minor"/>
      </font>
      <fill>
        <patternFill patternType="solid">
          <fgColor rgb="FFB24669"/>
          <bgColor theme="4"/>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 formatCode="0"/>
    </dxf>
    <dxf>
      <font>
        <strike val="0"/>
        <outline val="0"/>
        <shadow val="0"/>
        <u val="none"/>
        <vertAlign val="baseline"/>
        <sz val="11"/>
        <name val="Arial"/>
        <family val="2"/>
        <scheme val="minor"/>
      </font>
      <numFmt numFmtId="1" formatCode="0"/>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font>
        <b val="0"/>
        <i val="0"/>
        <strike val="0"/>
        <condense val="0"/>
        <extend val="0"/>
        <outline val="0"/>
        <shadow val="0"/>
        <u val="none"/>
        <vertAlign val="baseline"/>
        <sz val="11"/>
        <color theme="1"/>
        <name val="Arial"/>
        <family val="2"/>
        <scheme val="minor"/>
      </font>
      <border diagonalUp="0" diagonalDown="0" outline="0">
        <left/>
        <right/>
        <top style="thin">
          <color theme="1"/>
        </top>
        <bottom/>
      </border>
    </dxf>
    <dxf>
      <font>
        <b val="0"/>
        <i val="0"/>
        <strike val="0"/>
        <condense val="0"/>
        <extend val="0"/>
        <outline val="0"/>
        <shadow val="0"/>
        <u val="none"/>
        <vertAlign val="baseline"/>
        <sz val="11"/>
        <color theme="1"/>
        <name val="Arial"/>
        <family val="2"/>
        <scheme val="minor"/>
      </font>
      <border diagonalUp="0" diagonalDown="0" outline="0">
        <left/>
        <right/>
        <top style="thin">
          <color theme="1"/>
        </top>
        <bottom/>
      </border>
    </dxf>
    <dxf>
      <font>
        <strike val="0"/>
        <outline val="0"/>
        <shadow val="0"/>
        <u val="none"/>
        <vertAlign val="baseline"/>
        <sz val="11"/>
        <name val="Arial"/>
        <family val="2"/>
        <scheme val="minor"/>
      </font>
    </dxf>
    <dxf>
      <font>
        <strike val="0"/>
        <outline val="0"/>
        <shadow val="0"/>
        <u val="none"/>
        <vertAlign val="baseline"/>
        <sz val="11"/>
        <name val="Arial"/>
        <family val="2"/>
        <scheme val="minor"/>
      </font>
      <fill>
        <patternFill patternType="solid">
          <fgColor indexed="64"/>
          <bgColor theme="4"/>
        </patternFill>
      </fill>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dxf>
    <dxf>
      <font>
        <strike val="0"/>
        <outline val="0"/>
        <shadow val="0"/>
        <u val="none"/>
        <vertAlign val="baseline"/>
        <sz val="11"/>
        <name val="Arial"/>
        <family val="2"/>
        <scheme val="minor"/>
      </font>
      <border diagonalUp="0" diagonalDown="0" outline="0">
        <left style="thin">
          <color theme="1"/>
        </left>
        <right/>
        <top style="thin">
          <color theme="1"/>
        </top>
        <bottom style="thin">
          <color theme="1"/>
        </bottom>
      </border>
    </dxf>
    <dxf>
      <font>
        <strike val="0"/>
        <outline val="0"/>
        <shadow val="0"/>
        <u val="none"/>
        <vertAlign val="baseline"/>
        <sz val="11"/>
        <name val="Arial"/>
        <family val="2"/>
        <scheme val="minor"/>
      </font>
    </dxf>
    <dxf>
      <font>
        <strike val="0"/>
        <outline val="0"/>
        <shadow val="0"/>
        <u val="none"/>
        <vertAlign val="baseline"/>
        <sz val="11"/>
        <name val="Arial"/>
        <family val="2"/>
        <scheme val="minor"/>
      </font>
      <fill>
        <patternFill patternType="solid">
          <fgColor indexed="64"/>
          <bgColor theme="4"/>
        </patternFill>
      </fill>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numFmt numFmtId="1" formatCode="0"/>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font>
        <strike val="0"/>
        <outline val="0"/>
        <shadow val="0"/>
        <u val="none"/>
        <vertAlign val="baseline"/>
        <sz val="11"/>
        <name val="Arial"/>
        <family val="2"/>
        <scheme val="minor"/>
      </font>
    </dxf>
    <dxf>
      <font>
        <strike val="0"/>
        <outline val="0"/>
        <shadow val="0"/>
        <u val="none"/>
        <vertAlign val="baseline"/>
        <sz val="11"/>
        <name val="Arial"/>
        <family val="2"/>
        <scheme val="minor"/>
      </font>
    </dxf>
    <dxf>
      <font>
        <strike val="0"/>
        <outline val="0"/>
        <shadow val="0"/>
        <u val="none"/>
        <vertAlign val="baseline"/>
        <sz val="11"/>
        <name val="Arial"/>
        <family val="2"/>
        <scheme val="minor"/>
      </font>
      <numFmt numFmtId="13" formatCode="0%"/>
    </dxf>
    <dxf>
      <font>
        <strike val="0"/>
        <outline val="0"/>
        <shadow val="0"/>
        <u val="none"/>
        <vertAlign val="baseline"/>
        <sz val="11"/>
        <name val="Arial"/>
        <family val="2"/>
        <scheme val="minor"/>
      </font>
      <numFmt numFmtId="1" formatCode="0"/>
    </dxf>
    <dxf>
      <font>
        <strike val="0"/>
        <outline val="0"/>
        <shadow val="0"/>
        <u val="none"/>
        <vertAlign val="baseline"/>
        <sz val="11"/>
        <name val="Arial"/>
        <family val="2"/>
        <scheme val="minor"/>
      </font>
    </dxf>
    <dxf>
      <font>
        <strike val="0"/>
        <outline val="0"/>
        <shadow val="0"/>
        <u val="none"/>
        <vertAlign val="baseline"/>
        <sz val="11"/>
        <name val="Arial"/>
        <family val="2"/>
        <scheme val="minor"/>
      </font>
    </dxf>
    <dxf>
      <border outline="0">
        <bottom style="thin">
          <color theme="0" tint="-0.499984740745262"/>
        </bottom>
      </border>
    </dxf>
    <dxf>
      <font>
        <b/>
        <i val="0"/>
        <strike val="0"/>
        <condense val="0"/>
        <extend val="0"/>
        <outline val="0"/>
        <shadow val="0"/>
        <u val="none"/>
        <vertAlign val="baseline"/>
        <sz val="11"/>
        <color rgb="FFFFFFFF"/>
        <name val="Arial"/>
        <family val="2"/>
        <scheme val="minor"/>
      </font>
      <fill>
        <patternFill patternType="solid">
          <fgColor rgb="FFB24669"/>
          <bgColor theme="4"/>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strike val="0"/>
        <outline val="0"/>
        <shadow val="0"/>
        <u val="none"/>
        <vertAlign val="baseline"/>
        <sz val="1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0" formatCode="Genera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left"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 formatCode="0"/>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border>
    </dxf>
    <dxf>
      <font>
        <b val="0"/>
        <i val="0"/>
        <strike val="0"/>
        <condense val="0"/>
        <extend val="0"/>
        <outline val="0"/>
        <shadow val="0"/>
        <u val="none"/>
        <vertAlign val="baseline"/>
        <sz val="11"/>
        <color theme="1"/>
        <name val="Arial"/>
        <family val="2"/>
        <scheme val="minor"/>
      </font>
      <numFmt numFmtId="167" formatCode="0.0%"/>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numFmt numFmtId="166" formatCode="_-* #,##0_-;\-* #,##0_-;_-* &quot;-&quot;??_-;_-@_-"/>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top style="thin">
          <color theme="0" tint="-0.499984740745262"/>
        </top>
        <bottom style="thin">
          <color theme="0" tint="-0.499984740745262"/>
        </bottom>
      </border>
    </dxf>
    <dxf>
      <font>
        <strike val="0"/>
        <outline val="0"/>
        <shadow val="0"/>
        <u val="none"/>
        <vertAlign val="baseline"/>
        <sz val="11"/>
        <name val="Arial"/>
        <family val="2"/>
        <scheme val="minor"/>
      </font>
      <alignment vertical="center" textRotation="0" indent="0" justifyLastLine="0" shrinkToFit="0" readingOrder="0"/>
    </dxf>
    <dxf>
      <border outline="0">
        <bottom style="thin">
          <color theme="0" tint="-0.499984740745262"/>
        </bottom>
      </border>
    </dxf>
    <dxf>
      <font>
        <b/>
        <i val="0"/>
        <strike val="0"/>
        <condense val="0"/>
        <extend val="0"/>
        <outline val="0"/>
        <shadow val="0"/>
        <u val="none"/>
        <vertAlign val="baseline"/>
        <sz val="11"/>
        <color rgb="FFFFFFFF"/>
        <name val="Arial"/>
        <family val="2"/>
        <scheme val="minor"/>
      </font>
      <fill>
        <patternFill patternType="solid">
          <fgColor rgb="FFB24669"/>
          <bgColor theme="4"/>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4" formatCode="0.00%"/>
      <fill>
        <patternFill patternType="none">
          <fgColor indexed="64"/>
          <bgColor auto="1"/>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alignment horizontal="center"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alignment vertical="center" textRotation="0" wrapText="1"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ill>
        <patternFill>
          <fgColor indexed="64"/>
          <bgColor rgb="FFFFFF00"/>
        </patternFill>
      </fill>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ill>
        <patternFill>
          <fgColor indexed="64"/>
          <bgColor rgb="FFFFFF00"/>
        </patternFill>
      </fill>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ill>
        <patternFill patternType="solid">
          <fgColor indexed="64"/>
          <bgColor rgb="FFC3BBEB"/>
        </patternFill>
      </fill>
      <alignment horizontal="general" vertical="center" textRotation="0" wrapText="0" indent="0" justifyLastLine="0" shrinkToFit="0" readingOrder="0"/>
    </dxf>
    <dxf>
      <fill>
        <patternFill patternType="solid">
          <fgColor indexed="64"/>
          <bgColor rgb="FFC3BBEB"/>
        </patternFill>
      </fill>
      <alignment horizontal="general" vertical="center" textRotation="0" wrapText="0" indent="0" justifyLastLine="0" shrinkToFit="0" readingOrder="0"/>
    </dxf>
    <dxf>
      <fill>
        <patternFill patternType="solid">
          <fgColor indexed="64"/>
          <bgColor rgb="FFC3BBEB"/>
        </patternFill>
      </fill>
      <alignment horizontal="center" vertical="center" textRotation="0" wrapText="0" indent="0" justifyLastLine="0" shrinkToFit="0" readingOrder="0"/>
    </dxf>
    <dxf>
      <fill>
        <patternFill patternType="solid">
          <fgColor indexed="64"/>
          <bgColor rgb="FFC3BBEB"/>
        </patternFill>
      </fill>
      <alignment horizontal="center" vertical="center" textRotation="0" wrapText="0" indent="0" justifyLastLine="0" shrinkToFit="0" readingOrder="0"/>
    </dxf>
    <dxf>
      <fill>
        <patternFill patternType="solid">
          <fgColor indexed="64"/>
          <bgColor rgb="FFC3BBEB"/>
        </patternFill>
      </fill>
      <alignment horizontal="center" vertical="center" textRotation="0" wrapText="0" indent="0" justifyLastLine="0" shrinkToFit="0" readingOrder="0"/>
    </dxf>
    <dxf>
      <fill>
        <patternFill patternType="solid">
          <fgColor indexed="64"/>
          <bgColor rgb="FFC3BBEB"/>
        </patternFill>
      </fill>
      <alignment horizontal="general" vertical="center" textRotation="0" wrapText="1" indent="0" justifyLastLine="0" shrinkToFit="0" readingOrder="0"/>
    </dxf>
    <dxf>
      <fill>
        <patternFill patternType="solid">
          <fgColor indexed="64"/>
          <bgColor theme="7" tint="0.79998168889431442"/>
        </patternFill>
      </fill>
      <alignment horizontal="general" vertical="center" textRotation="0" wrapText="0" indent="0" justifyLastLine="0" shrinkToFit="0" readingOrder="0"/>
    </dxf>
    <dxf>
      <fill>
        <patternFill patternType="solid">
          <fgColor indexed="64"/>
          <bgColor rgb="FFC3BBEB"/>
        </patternFill>
      </fill>
      <alignment horizontal="general" vertical="center" textRotation="0" wrapText="1" indent="0" justifyLastLine="0" shrinkToFit="0" readingOrder="0"/>
    </dxf>
    <dxf>
      <fill>
        <patternFill patternType="solid">
          <fgColor indexed="64"/>
          <bgColor rgb="FFC3BBEB"/>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border outline="0">
        <top style="thin">
          <color indexed="64"/>
        </top>
      </border>
    </dxf>
    <dxf>
      <font>
        <b val="0"/>
        <i val="0"/>
        <strike val="0"/>
        <condense val="0"/>
        <extend val="0"/>
        <outline val="0"/>
        <shadow val="0"/>
        <u val="none"/>
        <vertAlign val="baseline"/>
        <sz val="11"/>
        <color theme="0"/>
        <name val="Arial"/>
        <family val="2"/>
        <scheme val="minor"/>
      </font>
      <fill>
        <patternFill patternType="solid">
          <fgColor indexed="64"/>
          <bgColor rgb="FF002060"/>
        </patternFill>
      </fill>
      <alignment horizontal="general" vertical="center" textRotation="0" wrapText="1" indent="0" justifyLastLine="0" shrinkToFit="0" readingOrder="0"/>
    </dxf>
    <dxf>
      <font>
        <strike val="0"/>
        <outline val="0"/>
        <shadow val="0"/>
        <u val="none"/>
        <vertAlign val="baseline"/>
        <sz val="11"/>
        <color auto="1"/>
        <name val="Arial"/>
        <family val="2"/>
        <scheme val="minor"/>
      </font>
    </dxf>
    <dxf>
      <font>
        <b val="0"/>
        <i val="0"/>
        <strike val="0"/>
        <condense val="0"/>
        <extend val="0"/>
        <outline val="0"/>
        <shadow val="0"/>
        <u val="none"/>
        <vertAlign val="baseline"/>
        <sz val="11"/>
        <color auto="1"/>
        <name val="Arial"/>
        <family val="2"/>
        <scheme val="minor"/>
      </font>
      <fill>
        <patternFill patternType="solid">
          <fgColor rgb="FF000000"/>
          <bgColor rgb="FFFFFFFF"/>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bottom" textRotation="0" wrapText="1" indent="0" justifyLastLine="0" shrinkToFit="0" readingOrder="0"/>
    </dxf>
    <dxf>
      <border outline="0">
        <bottom style="thin">
          <color rgb="FF307D00"/>
        </bottom>
      </border>
    </dxf>
    <dxf>
      <font>
        <strike val="0"/>
        <outline val="0"/>
        <shadow val="0"/>
        <u val="none"/>
        <vertAlign val="baseline"/>
        <sz val="11"/>
        <color auto="1"/>
        <name val="Arial"/>
        <family val="2"/>
        <scheme val="minor"/>
      </font>
    </dxf>
    <dxf>
      <font>
        <b/>
        <i val="0"/>
        <strike val="0"/>
        <condense val="0"/>
        <extend val="0"/>
        <outline val="0"/>
        <shadow val="0"/>
        <u val="none"/>
        <vertAlign val="baseline"/>
        <sz val="11"/>
        <color rgb="FFFFFFFF"/>
        <name val="Arial"/>
        <family val="2"/>
        <scheme val="minor"/>
      </font>
      <fill>
        <patternFill patternType="solid">
          <fgColor rgb="FF5B9BD5"/>
          <bgColor rgb="FF5B9BD5"/>
        </patternFill>
      </fill>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4" formatCode="0.0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tint="-0.249977111117893"/>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tint="-0.249977111117893"/>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border diagonalUp="0" diagonalDown="0" outline="0">
        <left style="thin">
          <color theme="1"/>
        </left>
        <right/>
        <top/>
        <bottom/>
      </border>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border outline="0">
        <top style="thin">
          <color theme="1"/>
        </top>
        <bottom style="thin">
          <color theme="1"/>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dxf>
    <dxf>
      <font>
        <b val="0"/>
        <i val="0"/>
        <strike val="0"/>
        <condense val="0"/>
        <extend val="0"/>
        <outline val="0"/>
        <shadow val="0"/>
        <u val="none"/>
        <vertAlign val="baseline"/>
        <sz val="11"/>
        <color theme="5"/>
        <name val="Arial"/>
        <family val="2"/>
        <scheme val="minor"/>
      </font>
      <numFmt numFmtId="0" formatCode="General"/>
      <fill>
        <patternFill patternType="solid">
          <fgColor indexed="64"/>
          <bgColor theme="2"/>
        </patternFill>
      </fill>
    </dxf>
    <dxf>
      <font>
        <b val="0"/>
        <i val="0"/>
        <strike val="0"/>
        <condense val="0"/>
        <extend val="0"/>
        <outline val="0"/>
        <shadow val="0"/>
        <u val="none"/>
        <vertAlign val="baseline"/>
        <sz val="11"/>
        <color theme="5"/>
        <name val="Arial"/>
        <family val="2"/>
        <scheme val="minor"/>
      </font>
      <fill>
        <patternFill patternType="solid">
          <fgColor indexed="64"/>
          <bgColor theme="2"/>
        </patternFill>
      </fill>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border diagonalUp="0" diagonalDown="0" outline="0">
        <left/>
        <right/>
        <top style="thin">
          <color theme="0" tint="-0.499984740745262"/>
        </top>
        <bottom style="thin">
          <color theme="0" tint="-0.499984740745262"/>
        </bottom>
      </border>
    </dxf>
    <dxf>
      <border outline="0">
        <top style="thin">
          <color rgb="FF808080"/>
        </top>
      </border>
    </dxf>
    <dxf>
      <border outline="0">
        <left style="thin">
          <color rgb="FF808080"/>
        </left>
        <right style="thin">
          <color rgb="FF808080"/>
        </right>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border outline="0">
        <top style="thin">
          <color theme="1"/>
        </top>
        <bottom style="thin">
          <color theme="1"/>
        </bottom>
      </border>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numFmt numFmtId="0" formatCode="General"/>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rder>
    </dxf>
    <dxf>
      <font>
        <strike val="0"/>
        <outline val="0"/>
        <shadow val="0"/>
        <u val="none"/>
        <vertAlign val="baseline"/>
        <sz val="11"/>
        <color theme="5"/>
        <name val="Arial"/>
        <family val="2"/>
        <scheme val="minor"/>
      </font>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numFmt numFmtId="0" formatCode="General"/>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rder>
    </dxf>
    <dxf>
      <font>
        <strike val="0"/>
        <outline val="0"/>
        <shadow val="0"/>
        <u val="none"/>
        <vertAlign val="baseline"/>
        <sz val="11"/>
        <color theme="5"/>
        <name val="Arial"/>
        <family val="2"/>
        <scheme val="minor"/>
      </font>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border outline="0">
        <top style="thin">
          <color theme="1"/>
        </top>
        <bottom style="thin">
          <color theme="1"/>
        </bottom>
      </border>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2"/>
        </patternFill>
      </fill>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color theme="5"/>
        <name val="Arial"/>
        <family val="2"/>
        <scheme val="minor"/>
      </font>
      <numFmt numFmtId="1" formatCode="0"/>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rder>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strike val="0"/>
        <outline val="0"/>
        <shadow val="0"/>
        <u val="none"/>
        <vertAlign val="baseline"/>
        <sz val="11"/>
        <color theme="5"/>
        <name val="Arial"/>
        <family val="2"/>
        <scheme val="minor"/>
      </font>
      <numFmt numFmtId="1" formatCode="0"/>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2"/>
        </patternFill>
      </fill>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2"/>
        </patternFill>
      </fill>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3" formatCode="0%"/>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color theme="5"/>
        <name val="Arial"/>
        <family val="2"/>
        <scheme val="minor"/>
      </font>
      <numFmt numFmtId="1" formatCode="0"/>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rder>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left/>
        <right/>
        <top style="thin">
          <color theme="1"/>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left/>
        <right/>
        <top style="thin">
          <color theme="1"/>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border diagonalUp="0" diagonalDown="0" outline="0">
        <left style="thin">
          <color theme="1"/>
        </left>
        <right/>
        <top/>
        <bottom/>
      </border>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border outline="0">
        <top style="thin">
          <color theme="1"/>
        </top>
        <bottom style="thin">
          <color theme="1"/>
        </bottom>
      </border>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border diagonalUp="0" diagonalDown="0" outline="0">
        <left/>
        <right/>
        <top style="thin">
          <color theme="1"/>
        </top>
        <bottom/>
      </border>
    </dxf>
    <dxf>
      <border diagonalUp="0" diagonalDown="0" outline="0">
        <left style="thin">
          <color theme="1"/>
        </left>
        <right/>
        <top/>
        <bottom/>
      </border>
    </dxf>
    <dxf>
      <font>
        <b val="0"/>
        <i val="0"/>
        <strike val="0"/>
        <condense val="0"/>
        <extend val="0"/>
        <outline val="0"/>
        <shadow val="0"/>
        <u val="none"/>
        <vertAlign val="baseline"/>
        <sz val="11"/>
        <color theme="1"/>
        <name val="Arial"/>
        <family val="2"/>
        <scheme val="minor"/>
      </font>
      <border diagonalUp="0" diagonalDown="0" outline="0">
        <left style="thin">
          <color theme="1"/>
        </left>
        <right/>
        <top style="thin">
          <color theme="1"/>
        </top>
        <bottom/>
      </border>
    </dxf>
    <dxf>
      <border outline="0">
        <top style="thin">
          <color theme="1"/>
        </top>
        <bottom style="thin">
          <color theme="1"/>
        </bottom>
      </border>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tint="-0.249977111117893"/>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tint="-0.249977111117893"/>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808080"/>
        </top>
        <bottom style="thin">
          <color rgb="FF808080"/>
        </bottom>
      </border>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0" tint="-0.499984740745262"/>
        </top>
        <bottom style="thin">
          <color theme="0" tint="-0.499984740745262"/>
        </bottom>
      </border>
    </dxf>
    <dxf>
      <alignment vertical="center" textRotation="0" indent="0" justifyLastLine="0" shrinkToFit="0" readingOrder="0"/>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auto="1"/>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theme="0" tint="-0.499984740745262"/>
        </top>
        <bottom style="thin">
          <color theme="0" tint="-0.499984740745262"/>
        </bottom>
      </border>
    </dxf>
    <dxf>
      <alignment vertical="center" textRotation="0" indent="0" justifyLastLine="0" shrinkToFit="0" readingOrder="0"/>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0" tint="-0.499984740745262"/>
        </top>
        <bottom style="thin">
          <color theme="0" tint="-0.499984740745262"/>
        </bottom>
      </border>
    </dxf>
    <dxf>
      <alignment vertical="center" textRotation="0" indent="0" justifyLastLine="0" shrinkToFit="0" readingOrder="0"/>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vertical="center" textRotation="0" indent="0" justifyLastLine="0" shrinkToFit="0" readingOrder="0"/>
      <border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vertical="center" textRotation="0" indent="0" justifyLastLine="0" shrinkToFit="0" readingOrder="0"/>
      <border diagonalUp="0" diagonalDown="0" outline="0">
        <left style="thin">
          <color rgb="FF000000"/>
        </left>
        <right style="thin">
          <color rgb="FF000000"/>
        </right>
        <top style="thin">
          <color rgb="FF000000"/>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vertical="center" textRotation="0" indent="0" justifyLastLine="0" shrinkToFit="0" readingOrder="0"/>
      <border diagonalUp="0" diagonalDown="0" outline="0">
        <left style="thin">
          <color rgb="FF000000"/>
        </left>
        <right style="thin">
          <color rgb="FF000000"/>
        </right>
        <top style="thin">
          <color rgb="FF000000"/>
        </top>
        <bottom/>
      </border>
    </dxf>
    <dxf>
      <font>
        <strike val="0"/>
        <outline val="0"/>
        <shadow val="0"/>
        <u val="none"/>
        <vertAlign val="baseline"/>
        <sz val="11"/>
        <color theme="5"/>
        <name val="Arial"/>
        <family val="2"/>
        <scheme val="minor"/>
      </font>
      <numFmt numFmtId="1" formatCode="0"/>
      <fill>
        <patternFill patternType="solid">
          <fgColor indexed="64"/>
          <bgColor theme="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2" formatCode="0.00"/>
      <fill>
        <patternFill patternType="solid">
          <fgColor indexed="64"/>
          <bgColor theme="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numFmt numFmtId="1" formatCode="0"/>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fill>
        <patternFill patternType="solid">
          <fgColor indexed="64"/>
          <bgColor theme="7" tint="0.79998168889431442"/>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left style="thin">
          <color theme="0" tint="-0.499984740745262"/>
        </left>
        <top style="thin">
          <color theme="0" tint="-0.499984740745262"/>
        </top>
      </border>
    </dxf>
    <dxf>
      <alignment vertical="center" textRotation="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 formatCode="0"/>
      <fill>
        <patternFill patternType="solid">
          <fgColor indexed="64"/>
          <bgColor theme="2"/>
        </patternFill>
      </fill>
      <alignment horizontal="general" vertical="center" textRotation="0" indent="0" justifyLastLine="0" shrinkToFit="0" readingOrder="0"/>
    </dxf>
    <dxf>
      <numFmt numFmtId="0" formatCode="General"/>
      <fill>
        <patternFill patternType="solid">
          <fgColor indexed="64"/>
          <bgColor theme="2"/>
        </patternFill>
      </fill>
      <alignment horizontal="general" vertical="center" textRotation="0" indent="0" justifyLastLine="0" shrinkToFit="0" readingOrder="0"/>
    </dxf>
    <dxf>
      <numFmt numFmtId="0" formatCode="General"/>
      <fill>
        <patternFill patternType="solid">
          <fgColor indexed="64"/>
          <bgColor theme="2"/>
        </patternFill>
      </fill>
      <alignment horizontal="general" vertical="center" textRotation="0" wrapText="0" indent="0" justifyLastLine="0" shrinkToFit="0" readingOrder="0"/>
      <border outline="0">
        <left style="thin">
          <color theme="0" tint="-0.499984740745262"/>
        </left>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indent="0" justifyLastLine="0" shrinkToFit="0" readingOrder="0"/>
      <border diagonalUp="0" diagonalDown="0" outline="0">
        <left/>
        <right/>
        <top style="thin">
          <color theme="0" tint="-0.499984740745262"/>
        </top>
        <bottom style="thin">
          <color theme="0" tint="-0.499984740745262"/>
        </bottom>
      </border>
    </dxf>
    <dxf>
      <border outline="0">
        <top style="thin">
          <color rgb="FF808080"/>
        </top>
      </border>
    </dxf>
    <dxf>
      <border outline="0">
        <left style="thin">
          <color rgb="FF808080"/>
        </left>
        <right style="thin">
          <color rgb="FF808080"/>
        </right>
        <top style="thin">
          <color rgb="FF808080"/>
        </top>
        <bottom style="thin">
          <color rgb="FF808080"/>
        </bottom>
      </border>
    </dxf>
    <dxf>
      <alignment horizontal="general" vertical="center" textRotation="0" indent="0" justifyLastLine="0" shrinkToFit="0" readingOrder="0"/>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indexed="64"/>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alignment horizontal="general" vertical="center" textRotation="0" indent="0" justifyLastLine="0" shrinkToFit="0" readingOrder="0"/>
    </dxf>
    <dxf>
      <border outline="0">
        <bottom style="thin">
          <color theme="0" tint="-0.499984740745262"/>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0"/>
        </patternFill>
      </fill>
      <alignment horizontal="general" vertical="center" textRotation="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alignment horizontal="general" vertical="center" textRotation="0" indent="0" justifyLastLine="0" shrinkToFit="0" readingOrder="0"/>
    </dxf>
    <dxf>
      <border outline="0">
        <bottom style="thin">
          <color theme="0" tint="-0.499984740745262"/>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68" formatCode="#,##0\ &quot;€&quot;"/>
      <fill>
        <patternFill patternType="solid">
          <fgColor indexed="64"/>
          <bgColor theme="7" tint="0.79998168889431442"/>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left style="thin">
          <color rgb="FF808080"/>
        </left>
        <top style="thin">
          <color rgb="FF808080"/>
        </top>
      </border>
    </dxf>
    <dxf>
      <alignment horizontal="general" vertical="center" textRotation="0" indent="0" justifyLastLine="0" shrinkToFit="0" readingOrder="0"/>
    </dxf>
    <dxf>
      <border outline="0">
        <bottom style="thin">
          <color rgb="FF808080"/>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 formatCode="0"/>
      <fill>
        <patternFill patternType="solid">
          <fgColor indexed="64"/>
          <bgColor theme="2"/>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color auto="1"/>
      </font>
      <numFmt numFmtId="2" formatCode="0.0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border outline="0">
        <left style="thin">
          <color rgb="FF808080"/>
        </left>
        <top style="thin">
          <color rgb="FF808080"/>
        </top>
      </border>
    </dxf>
    <dxf>
      <alignment horizontal="general" vertical="center" textRotation="0" indent="0" justifyLastLine="0" shrinkToFit="0" readingOrder="0"/>
    </dxf>
    <dxf>
      <border outline="0">
        <bottom style="thin">
          <color rgb="FF808080"/>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 formatCode="0"/>
      <fill>
        <patternFill patternType="solid">
          <fgColor indexed="64"/>
          <bgColor theme="2"/>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color auto="1"/>
      </font>
      <numFmt numFmtId="2" formatCode="0.00"/>
      <fill>
        <patternFill patternType="solid">
          <fgColor indexed="64"/>
          <bgColor theme="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4" tint="0.79998168889431442"/>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4" tint="0.79998168889431442"/>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4"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0"/>
        </patternFill>
      </fill>
      <alignment horizontal="general" vertical="center" textRotation="0" indent="0" justifyLastLine="0" shrinkToFit="0" readingOrder="0"/>
      <border outline="0">
        <left style="thin">
          <color rgb="FF000000"/>
        </left>
        <right style="thin">
          <color rgb="FF000000"/>
        </right>
        <top style="thin">
          <color rgb="FF000000"/>
        </top>
        <bottom style="thin">
          <color rgb="FF000000"/>
        </bottom>
      </border>
    </dxf>
    <dxf>
      <border outline="0">
        <left style="thin">
          <color rgb="FF808080"/>
        </left>
        <top style="thin">
          <color rgb="FF808080"/>
        </top>
      </border>
    </dxf>
    <dxf>
      <alignment horizontal="general" vertical="center" textRotation="0" indent="0" justifyLastLine="0" shrinkToFit="0" readingOrder="0"/>
    </dxf>
    <dxf>
      <border outline="0">
        <bottom style="thin">
          <color rgb="FF808080"/>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numFmt numFmtId="1" formatCode="0"/>
      <fill>
        <patternFill patternType="solid">
          <fgColor indexed="64"/>
          <bgColor theme="2"/>
        </patternFill>
      </fill>
      <border outline="0">
        <left style="thin">
          <color rgb="FF000000"/>
        </left>
        <right style="thin">
          <color rgb="FF000000"/>
        </right>
        <top style="thin">
          <color rgb="FF000000"/>
        </top>
        <bottom style="thin">
          <color rgb="FF000000"/>
        </bottom>
      </border>
    </dxf>
    <dxf>
      <numFmt numFmtId="1" formatCode="0"/>
      <fill>
        <patternFill patternType="solid">
          <fgColor indexed="64"/>
          <bgColor theme="2"/>
        </patternFill>
      </fill>
      <border diagonalUp="0" diagonalDown="0">
        <left style="thin">
          <color rgb="FF000000"/>
        </left>
        <right style="thin">
          <color rgb="FF000000"/>
        </right>
        <top style="thin">
          <color rgb="FF000000"/>
        </top>
        <bottom/>
      </border>
    </dxf>
    <dxf>
      <numFmt numFmtId="1" formatCode="0"/>
      <fill>
        <patternFill patternType="solid">
          <fgColor indexed="64"/>
          <bgColor theme="2"/>
        </patternFill>
      </fill>
      <border diagonalUp="0" diagonalDown="0">
        <left style="thin">
          <color rgb="FF000000"/>
        </left>
        <right style="thin">
          <color rgb="FF000000"/>
        </right>
        <top style="thin">
          <color rgb="FF000000"/>
        </top>
        <bottom/>
      </border>
    </dxf>
    <dxf>
      <numFmt numFmtId="1" formatCode="0"/>
      <fill>
        <patternFill patternType="solid">
          <fgColor indexed="64"/>
          <bgColor theme="2"/>
        </patternFill>
      </fill>
      <border diagonalUp="0" diagonalDown="0">
        <left style="thin">
          <color rgb="FF000000"/>
        </left>
        <right style="thin">
          <color rgb="FF000000"/>
        </right>
        <top style="thin">
          <color rgb="FF000000"/>
        </top>
        <bottom style="thin">
          <color rgb="FF000000"/>
        </bottom>
        <vertical/>
        <horizontal/>
      </border>
    </dxf>
    <dxf>
      <font>
        <color auto="1"/>
      </font>
      <numFmt numFmtId="2" formatCode="0.00"/>
      <fill>
        <patternFill patternType="solid">
          <fgColor indexed="64"/>
          <bgColor theme="2"/>
        </patternFill>
      </fill>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color auto="1"/>
        <name val="Arial"/>
        <family val="2"/>
        <scheme val="minor"/>
      </font>
      <numFmt numFmtId="1" formatCode="0"/>
      <fill>
        <patternFill patternType="solid">
          <fgColor indexed="64"/>
          <bgColor theme="0"/>
        </patternFill>
      </fill>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7" tint="0.79998168889431442"/>
        </patternFill>
      </fill>
      <border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numFmt numFmtId="1" formatCode="0"/>
      <fill>
        <patternFill patternType="solid">
          <fgColor indexed="64"/>
          <bgColor theme="7" tint="0.79998168889431442"/>
        </patternFill>
      </fill>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2" tint="-9.9978637043366805E-2"/>
        <name val="Arial"/>
        <family val="2"/>
        <scheme val="minor"/>
      </font>
      <fill>
        <patternFill patternType="solid">
          <fgColor indexed="64"/>
          <bgColor theme="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2" tint="-9.9978637043366805E-2"/>
        <name val="Arial"/>
        <family val="2"/>
        <scheme val="minor"/>
      </font>
      <fill>
        <patternFill patternType="solid">
          <fgColor indexed="64"/>
          <bgColor theme="0"/>
        </patternFill>
      </fill>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1"/>
        <color theme="2" tint="-9.9978637043366805E-2"/>
        <name val="Arial"/>
        <family val="2"/>
        <scheme val="minor"/>
      </font>
      <numFmt numFmtId="1" formatCode="0"/>
      <fill>
        <patternFill patternType="solid">
          <fgColor indexed="64"/>
          <bgColor theme="0"/>
        </patternFill>
      </fill>
      <border outline="0">
        <left style="thin">
          <color rgb="FF000000"/>
        </left>
        <right style="thin">
          <color rgb="FF000000"/>
        </right>
        <top style="thin">
          <color rgb="FF000000"/>
        </top>
        <bottom style="thin">
          <color rgb="FF000000"/>
        </bottom>
      </border>
    </dxf>
    <dxf>
      <border outline="0">
        <left style="thin">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808080"/>
        </top>
        <bottom style="thin">
          <color rgb="FF808080"/>
        </bottom>
      </border>
    </dxf>
    <dxf>
      <alignment vertical="center" textRotation="0" indent="0" justifyLastLine="0" shrinkToFit="0" readingOrder="0"/>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808080"/>
        </top>
        <bottom style="thin">
          <color rgb="FF808080"/>
        </bottom>
      </border>
    </dxf>
    <dxf>
      <font>
        <strike val="0"/>
        <outline val="0"/>
        <shadow val="0"/>
        <u val="none"/>
        <vertAlign val="baseline"/>
        <sz val="11"/>
        <name val="Arial"/>
        <family val="2"/>
        <scheme val="minor"/>
      </font>
      <alignment vertical="center" textRotation="0" indent="0" justifyLastLine="0" shrinkToFit="0" readingOrder="0"/>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1" formatCode="0"/>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rgb="FF808080"/>
        </top>
        <bottom style="thin">
          <color rgb="FF808080"/>
        </bottom>
      </border>
    </dxf>
    <dxf>
      <font>
        <strike val="0"/>
        <outline val="0"/>
        <shadow val="0"/>
        <u val="none"/>
        <vertAlign val="baseline"/>
        <sz val="11"/>
        <name val="Arial"/>
        <family val="2"/>
        <scheme val="minor"/>
      </font>
      <alignment vertical="center" textRotation="0" indent="0" justifyLastLine="0" shrinkToFit="0" readingOrder="0"/>
    </dxf>
    <dxf>
      <border outline="0">
        <bottom style="thin">
          <color rgb="FF808080"/>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border outline="0">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theme="0" tint="-0.499984740745262"/>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border outline="0">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2"/>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minor"/>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1"/>
        <name val="Arial"/>
        <family val="2"/>
        <scheme val="minor"/>
      </font>
      <numFmt numFmtId="0" formatCode="General"/>
      <fill>
        <patternFill patternType="solid">
          <fgColor indexed="64"/>
          <bgColor theme="0" tint="-4.9989318521683403E-2"/>
        </patternFill>
      </fill>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numFmt numFmtId="14" formatCode="0.00%"/>
      <fill>
        <patternFill patternType="solid">
          <fgColor indexed="64"/>
          <bgColor theme="7" tint="0.79998168889431442"/>
        </patternFill>
      </fill>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auto="1"/>
        <name val="Arial"/>
        <family val="2"/>
        <scheme val="minor"/>
      </font>
      <fill>
        <patternFill patternType="solid">
          <fgColor indexed="64"/>
          <bgColor theme="7" tint="0.79998168889431442"/>
        </patternFill>
      </fill>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strike val="0"/>
        <outline val="0"/>
        <shadow val="0"/>
        <u val="none"/>
        <vertAlign val="baseline"/>
        <sz val="11"/>
        <name val="Arial"/>
        <family val="2"/>
        <scheme val="minor"/>
      </font>
      <fill>
        <patternFill patternType="solid">
          <fgColor indexed="64"/>
          <bgColor theme="4"/>
        </patternFill>
      </fill>
    </dxf>
    <dxf>
      <font>
        <strike val="0"/>
        <outline val="0"/>
        <shadow val="0"/>
        <u val="none"/>
        <vertAlign val="baseline"/>
        <sz val="11"/>
        <name val="Arial"/>
        <family val="2"/>
        <scheme val="minor"/>
      </font>
      <numFmt numFmtId="0" formatCode="General"/>
      <fill>
        <patternFill patternType="solid">
          <fgColor indexed="64"/>
          <bgColor theme="0" tint="-4.9989318521683403E-2"/>
        </patternFill>
      </fill>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numFmt numFmtId="14" formatCode="0.00%"/>
      <fill>
        <patternFill patternType="solid">
          <fgColor indexed="64"/>
          <bgColor theme="7" tint="0.79998168889431442"/>
        </patternFill>
      </fill>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5"/>
        <name val="Arial"/>
        <family val="2"/>
        <scheme val="minor"/>
      </font>
      <fill>
        <patternFill patternType="solid">
          <fgColor indexed="64"/>
          <bgColor theme="7" tint="0.79998168889431442"/>
        </patternFill>
      </fill>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theme="0" tint="-0.499984740745262"/>
        </bottom>
      </border>
    </dxf>
    <dxf>
      <font>
        <strike val="0"/>
        <outline val="0"/>
        <shadow val="0"/>
        <u val="none"/>
        <vertAlign val="baseline"/>
        <sz val="11"/>
        <name val="Arial"/>
        <family val="2"/>
        <scheme val="minor"/>
      </font>
      <fill>
        <patternFill patternType="solid">
          <fgColor indexed="64"/>
          <bgColor theme="4"/>
        </patternFill>
      </fill>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rial"/>
        <family val="2"/>
        <scheme val="minor"/>
      </font>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1"/>
        <name val="Arial"/>
        <family val="2"/>
        <scheme val="minor"/>
      </font>
    </dxf>
    <dxf>
      <border outline="0">
        <bottom style="thin">
          <color indexed="64"/>
        </bottom>
      </border>
    </dxf>
    <dxf>
      <font>
        <b/>
        <i val="0"/>
        <strike val="0"/>
        <condense val="0"/>
        <extend val="0"/>
        <outline val="0"/>
        <shadow val="0"/>
        <u val="none"/>
        <vertAlign val="baseline"/>
        <sz val="11"/>
        <color rgb="FFFFFFFF"/>
        <name val="Arial"/>
        <family val="2"/>
        <scheme val="minor"/>
      </font>
      <fill>
        <patternFill patternType="solid">
          <fgColor rgb="FFB24669"/>
          <bgColor theme="4"/>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Arial"/>
        <family val="2"/>
        <scheme val="minor"/>
      </font>
    </dxf>
    <dxf>
      <border outline="0">
        <top style="thin">
          <color theme="0" tint="-0.499984740745262"/>
        </top>
      </border>
    </dxf>
    <dxf>
      <font>
        <strike val="0"/>
        <outline val="0"/>
        <shadow val="0"/>
        <u val="none"/>
        <vertAlign val="baseline"/>
        <sz val="11"/>
        <name val="Arial"/>
        <family val="2"/>
        <scheme val="minor"/>
      </font>
    </dxf>
    <dxf>
      <border outline="0">
        <bottom style="thin">
          <color theme="0" tint="-0.499984740745262"/>
        </bottom>
      </border>
    </dxf>
    <dxf>
      <font>
        <b/>
        <i val="0"/>
        <strike val="0"/>
        <condense val="0"/>
        <extend val="0"/>
        <outline val="0"/>
        <shadow val="0"/>
        <u val="none"/>
        <vertAlign val="baseline"/>
        <sz val="11"/>
        <color rgb="FFFFFFFF"/>
        <name val="Arial"/>
        <family val="2"/>
        <scheme val="minor"/>
      </font>
      <fill>
        <patternFill patternType="solid">
          <fgColor rgb="FFB24669"/>
          <bgColor theme="4"/>
        </patternFill>
      </fill>
      <alignment horizontal="left" vertical="center" textRotation="0" wrapText="1" indent="0" justifyLastLine="0" shrinkToFit="0" readingOrder="0"/>
    </dxf>
  </dxfs>
  <tableStyles count="0" defaultTableStyle="TableStyleMedium2" defaultPivotStyle="PivotStyleLight16"/>
  <colors>
    <mruColors>
      <color rgb="FFC3BBEB"/>
      <color rgb="FFFFCCCC"/>
      <color rgb="FFFF9999"/>
      <color rgb="FFF3EBF9"/>
      <color rgb="FFCCCCFF"/>
      <color rgb="FFFFC000"/>
      <color rgb="FF187C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31-46C6-A344-0DBF9D8A5B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31-46C6-A344-0DBF9D8A5B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31-46C6-A344-0DBF9D8A5B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31-46C6-A344-0DBF9D8A5B1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E31-46C6-A344-0DBF9D8A5B1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31-46C6-A344-0DBF9D8A5B1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E31-46C6-A344-0DBF9D8A5B1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E31-46C6-A344-0DBF9D8A5B1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E31-46C6-A344-0DBF9D8A5B1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E31-46C6-A344-0DBF9D8A5B1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E31-46C6-A344-0DBF9D8A5B1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E31-46C6-A344-0DBF9D8A5B1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E31-46C6-A344-0DBF9D8A5B1A}"/>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E31-46C6-A344-0DBF9D8A5B1A}"/>
              </c:ext>
            </c:extLst>
          </c:dPt>
          <c:cat>
            <c:strRef>
              <c:f>'4.2 Tableau de bord Sujets'!$A$6:$A$19</c:f>
              <c:strCache>
                <c:ptCount val="14"/>
                <c:pt idx="0">
                  <c:v>APP</c:v>
                </c:pt>
                <c:pt idx="1">
                  <c:v>ASSET</c:v>
                </c:pt>
                <c:pt idx="2">
                  <c:v>CLOUD</c:v>
                </c:pt>
                <c:pt idx="3">
                  <c:v>DATA</c:v>
                </c:pt>
                <c:pt idx="4">
                  <c:v>DET</c:v>
                </c:pt>
                <c:pt idx="5">
                  <c:v>ENDPT</c:v>
                </c:pt>
                <c:pt idx="6">
                  <c:v>GOV</c:v>
                </c:pt>
                <c:pt idx="7">
                  <c:v>IAM</c:v>
                </c:pt>
                <c:pt idx="8">
                  <c:v>INC</c:v>
                </c:pt>
                <c:pt idx="9">
                  <c:v>NTW</c:v>
                </c:pt>
                <c:pt idx="10">
                  <c:v>OPS</c:v>
                </c:pt>
                <c:pt idx="11">
                  <c:v>RES</c:v>
                </c:pt>
                <c:pt idx="12">
                  <c:v>RISK</c:v>
                </c:pt>
                <c:pt idx="13">
                  <c:v>TP</c:v>
                </c:pt>
              </c:strCache>
            </c:strRef>
          </c:cat>
          <c:val>
            <c:numRef>
              <c:f>'4.2 Tableau de bord Sujets'!$B$6:$B$19</c:f>
              <c:numCache>
                <c:formatCode>0</c:formatCode>
                <c:ptCount val="14"/>
                <c:pt idx="0">
                  <c:v>0</c:v>
                </c:pt>
                <c:pt idx="1">
                  <c:v>1622.6427868316812</c:v>
                </c:pt>
                <c:pt idx="2">
                  <c:v>0</c:v>
                </c:pt>
                <c:pt idx="3">
                  <c:v>0</c:v>
                </c:pt>
                <c:pt idx="4">
                  <c:v>15.972790834285716</c:v>
                </c:pt>
                <c:pt idx="5">
                  <c:v>1.5960111374999999</c:v>
                </c:pt>
                <c:pt idx="6">
                  <c:v>690.17148504166664</c:v>
                </c:pt>
                <c:pt idx="7">
                  <c:v>0</c:v>
                </c:pt>
                <c:pt idx="8">
                  <c:v>0</c:v>
                </c:pt>
                <c:pt idx="9">
                  <c:v>1273.2061585702072</c:v>
                </c:pt>
                <c:pt idx="10">
                  <c:v>0</c:v>
                </c:pt>
                <c:pt idx="11">
                  <c:v>19.378098055695556</c:v>
                </c:pt>
                <c:pt idx="12">
                  <c:v>0.31970883174120279</c:v>
                </c:pt>
                <c:pt idx="13">
                  <c:v>1963.7186593110393</c:v>
                </c:pt>
              </c:numCache>
            </c:numRef>
          </c:val>
          <c:extLst>
            <c:ext xmlns:c16="http://schemas.microsoft.com/office/drawing/2014/chart" uri="{C3380CC4-5D6E-409C-BE32-E72D297353CC}">
              <c16:uniqueId val="{00000000-DD6A-45E2-B848-396F18A0940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383-4809-8885-A86C92C803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383-4809-8885-A86C92C803F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383-4809-8885-A86C92C803F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383-4809-8885-A86C92C803F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383-4809-8885-A86C92C803F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383-4809-8885-A86C92C803F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22-4CA6-B5E3-90D64B9F7946}"/>
              </c:ext>
            </c:extLst>
          </c:dPt>
          <c:cat>
            <c:strRef>
              <c:f>'4.3 Tableau de bord Catégories'!$A$4:$A$10</c:f>
              <c:strCache>
                <c:ptCount val="7"/>
                <c:pt idx="0">
                  <c:v>Dispositifs Cyber</c:v>
                </c:pt>
                <c:pt idx="1">
                  <c:v>Réseau</c:v>
                </c:pt>
                <c:pt idx="2">
                  <c:v>Serveurs de sauvegarde</c:v>
                </c:pt>
                <c:pt idx="3">
                  <c:v> Infrastructure des logiciels Cyber</c:v>
                </c:pt>
                <c:pt idx="4">
                  <c:v>Services externes</c:v>
                </c:pt>
                <c:pt idx="5">
                  <c:v>Voyage</c:v>
                </c:pt>
                <c:pt idx="6">
                  <c:v>Equipements Non-Cyber</c:v>
                </c:pt>
              </c:strCache>
            </c:strRef>
          </c:cat>
          <c:val>
            <c:numRef>
              <c:f>'4.3 Tableau de bord Catégories'!$D$4:$D$10</c:f>
              <c:numCache>
                <c:formatCode>0</c:formatCode>
                <c:ptCount val="7"/>
                <c:pt idx="0">
                  <c:v>23.771283788666665</c:v>
                </c:pt>
                <c:pt idx="1">
                  <c:v>47.803076228571427</c:v>
                </c:pt>
                <c:pt idx="2">
                  <c:v>19.137024446195554</c:v>
                </c:pt>
                <c:pt idx="3">
                  <c:v>4434.0389241719622</c:v>
                </c:pt>
                <c:pt idx="4">
                  <c:v>391.38189693842082</c:v>
                </c:pt>
                <c:pt idx="5">
                  <c:v>668.23728599999993</c:v>
                </c:pt>
                <c:pt idx="6">
                  <c:v>33.076888075333336</c:v>
                </c:pt>
              </c:numCache>
            </c:numRef>
          </c:val>
          <c:extLst>
            <c:ext xmlns:c16="http://schemas.microsoft.com/office/drawing/2014/chart" uri="{C3380CC4-5D6E-409C-BE32-E72D297353CC}">
              <c16:uniqueId val="{00000000-EFDF-4122-B360-49BE69DF1F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'4.3 Tableau de bord Catégories'!$B$12</c:f>
              <c:strCache>
                <c:ptCount val="1"/>
                <c:pt idx="0">
                  <c:v>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B50-4BAF-BECB-F4911476F1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B50-4BAF-BECB-F4911476F11E}"/>
              </c:ext>
            </c:extLst>
          </c:dPt>
          <c:cat>
            <c:strRef>
              <c:f>'4.3 Tableau de bord Catégories'!$A$13:$A$14</c:f>
              <c:strCache>
                <c:ptCount val="2"/>
                <c:pt idx="0">
                  <c:v>Champ d'application 2</c:v>
                </c:pt>
                <c:pt idx="1">
                  <c:v>Champs d'application 3</c:v>
                </c:pt>
              </c:strCache>
            </c:strRef>
          </c:cat>
          <c:val>
            <c:numRef>
              <c:f>'4.3 Tableau de bord Catégories'!$B$13:$B$14</c:f>
              <c:numCache>
                <c:formatCode>0</c:formatCode>
                <c:ptCount val="2"/>
                <c:pt idx="0">
                  <c:v>71.335594173320004</c:v>
                </c:pt>
                <c:pt idx="1">
                  <c:v>5546.1107854758293</c:v>
                </c:pt>
              </c:numCache>
            </c:numRef>
          </c:val>
          <c:extLst>
            <c:ext xmlns:c16="http://schemas.microsoft.com/office/drawing/2014/chart" uri="{C3380CC4-5D6E-409C-BE32-E72D297353CC}">
              <c16:uniqueId val="{00000000-AAC0-4E59-BA55-B1C51E2A8F5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FF87ECCE-B969-4A2C-A869-F81A58577A4A}">
          <cx:tx>
            <cx:txData>
              <cx:f>_xlchart.v1.1</cx:f>
              <cx:v>Émissions annuelles totales de CO2e(kgCO2e)</cx:v>
            </cx:txData>
          </cx:tx>
          <cx:dataLabels pos="ctr">
            <cx:txPr>
              <a:bodyPr spcFirstLastPara="1" vertOverflow="ellipsis" horzOverflow="overflow" wrap="square" lIns="0" tIns="0" rIns="0" bIns="0" anchor="ctr" anchorCtr="1"/>
              <a:lstStyle/>
              <a:p>
                <a:pPr algn="ctr" rtl="0">
                  <a:defRPr sz="700"/>
                </a:pPr>
                <a:endParaRPr lang="fr-FR" sz="700" b="0" i="0" u="none" strike="noStrike" baseline="0">
                  <a:solidFill>
                    <a:sysClr val="window" lastClr="FFFFFF"/>
                  </a:solidFill>
                  <a:latin typeface="Calibri" panose="020F0502020204030204"/>
                </a:endParaRPr>
              </a:p>
            </cx:txPr>
            <cx:visibility seriesName="0" categoryName="1" value="0"/>
          </cx:dataLabels>
          <cx:dataId val="0"/>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_xlchart.v1.5</cx:f>
      </cx:numDim>
    </cx:data>
  </cx:chartData>
  <cx:chart>
    <cx:title pos="t" align="ctr" overlay="0">
      <cx:tx>
        <cx:txData>
          <cx:v>Titre du graphique</cx:v>
        </cx:txData>
      </cx:tx>
      <cx:txPr>
        <a:bodyPr vertOverflow="overflow" horzOverflow="overflow" wrap="square" lIns="0" tIns="0" rIns="0" bIns="0"/>
        <a:lstStyle/>
        <a:p>
          <a:pPr algn="ctr" rtl="0">
            <a:defRPr sz="1400" b="0" i="0">
              <a:solidFill>
                <a:srgbClr val="7F7F7F"/>
              </a:solidFill>
              <a:latin typeface="Calibri" panose="020F0502020204030204" pitchFamily="34" charset="0"/>
              <a:ea typeface="Calibri" panose="020F0502020204030204" pitchFamily="34" charset="0"/>
              <a:cs typeface="Calibri" panose="020F0502020204030204" pitchFamily="34" charset="0"/>
            </a:defRPr>
          </a:pPr>
          <a:r>
            <a:t>Titre du graphique</a:t>
          </a:r>
        </a:p>
      </cx:txPr>
    </cx:title>
    <cx:plotArea>
      <cx:plotAreaRegion>
        <cx:series layoutId="sunburst" uniqueId="{285F96FC-CB53-4610-8CAF-92C6641724D8}">
          <cx:tx>
            <cx:txData>
              <cx:f>_xlchart.v1.4</cx:f>
              <cx:v>tCO2e</cx:v>
            </cx:txData>
          </cx:tx>
          <cx:dataLabels pos="ctr">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_xlchart.v1.8</cx:f>
      </cx:numDim>
    </cx:data>
  </cx:chartData>
  <cx:chart>
    <cx:title pos="t" align="ctr" overlay="0">
      <cx:tx>
        <cx:txData>
          <cx:v>Titre du graphique</cx:v>
        </cx:txData>
      </cx:tx>
      <cx:txPr>
        <a:bodyPr vertOverflow="overflow" horzOverflow="overflow" wrap="square" lIns="0" tIns="0" rIns="0" bIns="0"/>
        <a:lstStyle/>
        <a:p>
          <a:pPr algn="ctr" rtl="0">
            <a:defRPr sz="1400" b="0" i="0">
              <a:solidFill>
                <a:srgbClr val="7F7F7F"/>
              </a:solidFill>
              <a:latin typeface="Calibri" panose="020F0502020204030204" pitchFamily="34" charset="0"/>
              <a:ea typeface="Calibri" panose="020F0502020204030204" pitchFamily="34" charset="0"/>
              <a:cs typeface="Calibri" panose="020F0502020204030204" pitchFamily="34" charset="0"/>
            </a:defRPr>
          </a:pPr>
          <a:r>
            <a:t>Titre du graphique</a:t>
          </a:r>
        </a:p>
      </cx:txPr>
    </cx:title>
    <cx:plotArea>
      <cx:plotAreaRegion>
        <cx:series layoutId="sunburst" uniqueId="{CD740C45-4D36-4BB8-B898-61C40622B2DA}">
          <cx:tx>
            <cx:txData>
              <cx:f>_xlchart.v1.7</cx:f>
              <cx:v>tCO2e</cx:v>
            </cx:txData>
          </cx:tx>
          <cx:dataLabels pos="ctr">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size">
        <cx:f>_xlchart.v1.11</cx:f>
      </cx:numDim>
    </cx:data>
  </cx:chartData>
  <cx:chart>
    <cx:plotArea>
      <cx:plotAreaRegion>
        <cx:series layoutId="sunburst" uniqueId="{CDECA905-EE91-4E84-A256-99100BD8CA57}">
          <cx:tx>
            <cx:txData>
              <cx:f>_xlchart.v1.10</cx:f>
              <cx:v>tCO2e</cx:v>
            </cx:txData>
          </cx:tx>
          <cx:dataLabels pos="ctr">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visibility seriesName="0" categoryName="1" value="0"/>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microsoft.com/office/2014/relationships/chartEx" Target="../charts/chartEx1.xml"/></Relationships>
</file>

<file path=xl/drawings/_rels/drawing5.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microsoft.com/office/2014/relationships/chartEx" Target="../charts/chartEx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84699</xdr:colOff>
      <xdr:row>4</xdr:row>
      <xdr:rowOff>57151</xdr:rowOff>
    </xdr:from>
    <xdr:to>
      <xdr:col>7</xdr:col>
      <xdr:colOff>314443</xdr:colOff>
      <xdr:row>15</xdr:row>
      <xdr:rowOff>111678</xdr:rowOff>
    </xdr:to>
    <xdr:pic>
      <xdr:nvPicPr>
        <xdr:cNvPr id="4" name="Image 3">
          <a:extLst>
            <a:ext uri="{FF2B5EF4-FFF2-40B4-BE49-F238E27FC236}">
              <a16:creationId xmlns:a16="http://schemas.microsoft.com/office/drawing/2014/main" id="{C3E5AD77-64E9-9ECD-2EF4-26FA42AA0D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99" y="890589"/>
          <a:ext cx="5941569" cy="3498835"/>
        </a:xfrm>
        <a:prstGeom prst="rect">
          <a:avLst/>
        </a:prstGeom>
        <a:ln>
          <a:solidFill>
            <a:schemeClr val="tx2"/>
          </a:solidFill>
        </a:ln>
      </xdr:spPr>
    </xdr:pic>
    <xdr:clientData/>
  </xdr:twoCellAnchor>
  <xdr:twoCellAnchor editAs="oneCell">
    <xdr:from>
      <xdr:col>0</xdr:col>
      <xdr:colOff>64216</xdr:colOff>
      <xdr:row>17</xdr:row>
      <xdr:rowOff>34262</xdr:rowOff>
    </xdr:from>
    <xdr:to>
      <xdr:col>7</xdr:col>
      <xdr:colOff>331752</xdr:colOff>
      <xdr:row>36</xdr:row>
      <xdr:rowOff>34650</xdr:rowOff>
    </xdr:to>
    <xdr:pic>
      <xdr:nvPicPr>
        <xdr:cNvPr id="5" name="Image 4">
          <a:extLst>
            <a:ext uri="{FF2B5EF4-FFF2-40B4-BE49-F238E27FC236}">
              <a16:creationId xmlns:a16="http://schemas.microsoft.com/office/drawing/2014/main" id="{9370ADEB-DE71-6C7F-5C78-5E5623F45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216" y="4669195"/>
          <a:ext cx="5982536" cy="3393669"/>
        </a:xfrm>
        <a:prstGeom prst="rect">
          <a:avLst/>
        </a:prstGeom>
        <a:ln>
          <a:solidFill>
            <a:schemeClr val="tx2"/>
          </a:solidFill>
        </a:ln>
      </xdr:spPr>
    </xdr:pic>
    <xdr:clientData/>
  </xdr:twoCellAnchor>
  <xdr:twoCellAnchor>
    <xdr:from>
      <xdr:col>10</xdr:col>
      <xdr:colOff>38100</xdr:colOff>
      <xdr:row>1</xdr:row>
      <xdr:rowOff>44450</xdr:rowOff>
    </xdr:from>
    <xdr:to>
      <xdr:col>13</xdr:col>
      <xdr:colOff>609600</xdr:colOff>
      <xdr:row>9</xdr:row>
      <xdr:rowOff>114300</xdr:rowOff>
    </xdr:to>
    <xdr:sp macro="" textlink="">
      <xdr:nvSpPr>
        <xdr:cNvPr id="6" name="Rectangle 5">
          <a:extLst>
            <a:ext uri="{FF2B5EF4-FFF2-40B4-BE49-F238E27FC236}">
              <a16:creationId xmlns:a16="http://schemas.microsoft.com/office/drawing/2014/main" id="{1D60E5C2-58A8-6EB6-35E8-253AEB070549}"/>
            </a:ext>
          </a:extLst>
        </xdr:cNvPr>
        <xdr:cNvSpPr/>
      </xdr:nvSpPr>
      <xdr:spPr>
        <a:xfrm>
          <a:off x="7658100" y="225425"/>
          <a:ext cx="2857500" cy="1517650"/>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fr-FR" sz="1100" b="0" i="1">
              <a:solidFill>
                <a:schemeClr val="lt1"/>
              </a:solidFill>
              <a:effectLst/>
              <a:latin typeface="+mn-lt"/>
              <a:ea typeface="+mn-ea"/>
              <a:cs typeface="+mn-cs"/>
            </a:rPr>
            <a:t>Licence </a:t>
          </a:r>
          <a:r>
            <a:rPr lang="fr-FR" sz="1100" i="1">
              <a:solidFill>
                <a:schemeClr val="lt1"/>
              </a:solidFill>
              <a:effectLst/>
              <a:latin typeface="+mn-lt"/>
              <a:ea typeface="+mn-ea"/>
              <a:cs typeface="+mn-cs"/>
            </a:rPr>
            <a:t>Creative Common CC BY-ND</a:t>
          </a:r>
          <a:endParaRPr lang="en-US">
            <a:effectLst/>
          </a:endParaRPr>
        </a:p>
        <a:p>
          <a:r>
            <a:rPr lang="fr-FR" sz="1100" b="0" i="0">
              <a:solidFill>
                <a:schemeClr val="lt1"/>
              </a:solidFill>
              <a:effectLst/>
              <a:latin typeface="+mn-lt"/>
              <a:ea typeface="+mn-ea"/>
              <a:cs typeface="+mn-cs"/>
            </a:rPr>
            <a:t>Basée sur la méthodologie V1 créée et mise à disposition par Wavestone, la méthodologie Cyber Sustainability v2 a été produite par le groupe de travail Cyber Campus dirigé par Wavestone en coopération avec Advens, Capgemini, Qorum Secur'Num, Sopra Steria Groupe et avec le soutien de l'ADEME.</a:t>
          </a:r>
          <a:r>
            <a:rPr lang="fr-FR" sz="1100">
              <a:solidFill>
                <a:schemeClr val="lt1"/>
              </a:solidFill>
              <a:effectLst/>
              <a:latin typeface="+mn-lt"/>
              <a:ea typeface="+mn-ea"/>
              <a:cs typeface="+mn-cs"/>
            </a:rPr>
            <a:t> </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2730789</xdr:colOff>
      <xdr:row>49</xdr:row>
      <xdr:rowOff>44044</xdr:rowOff>
    </xdr:from>
    <xdr:to>
      <xdr:col>7</xdr:col>
      <xdr:colOff>398791</xdr:colOff>
      <xdr:row>85</xdr:row>
      <xdr:rowOff>146194</xdr:rowOff>
    </xdr:to>
    <xdr:pic>
      <xdr:nvPicPr>
        <xdr:cNvPr id="26" name="Image 8">
          <a:extLst>
            <a:ext uri="{FF2B5EF4-FFF2-40B4-BE49-F238E27FC236}">
              <a16:creationId xmlns:a16="http://schemas.microsoft.com/office/drawing/2014/main" id="{29F242DC-44C7-281A-DC83-FFB2B2686A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730789" y="10545658"/>
          <a:ext cx="20383318" cy="6612909"/>
        </a:xfrm>
        <a:prstGeom prst="rect">
          <a:avLst/>
        </a:prstGeom>
      </xdr:spPr>
    </xdr:pic>
    <xdr:clientData/>
  </xdr:twoCellAnchor>
  <xdr:twoCellAnchor>
    <xdr:from>
      <xdr:col>0</xdr:col>
      <xdr:colOff>1758950</xdr:colOff>
      <xdr:row>50</xdr:row>
      <xdr:rowOff>33036</xdr:rowOff>
    </xdr:from>
    <xdr:to>
      <xdr:col>0</xdr:col>
      <xdr:colOff>2724873</xdr:colOff>
      <xdr:row>51</xdr:row>
      <xdr:rowOff>8038</xdr:rowOff>
    </xdr:to>
    <xdr:cxnSp macro="">
      <xdr:nvCxnSpPr>
        <xdr:cNvPr id="3" name="Connecteur droit avec flèche 2">
          <a:extLst>
            <a:ext uri="{FF2B5EF4-FFF2-40B4-BE49-F238E27FC236}">
              <a16:creationId xmlns:a16="http://schemas.microsoft.com/office/drawing/2014/main" id="{45D81B8E-C89F-4B1B-9807-522C68030767}"/>
            </a:ext>
          </a:extLst>
        </xdr:cNvPr>
        <xdr:cNvCxnSpPr>
          <a:stCxn id="13" idx="3"/>
        </xdr:cNvCxnSpPr>
      </xdr:nvCxnSpPr>
      <xdr:spPr>
        <a:xfrm>
          <a:off x="1758950" y="10538669"/>
          <a:ext cx="965923" cy="15183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48</xdr:row>
      <xdr:rowOff>126898</xdr:rowOff>
    </xdr:from>
    <xdr:to>
      <xdr:col>0</xdr:col>
      <xdr:colOff>1758950</xdr:colOff>
      <xdr:row>51</xdr:row>
      <xdr:rowOff>116009</xdr:rowOff>
    </xdr:to>
    <xdr:sp macro="" textlink="">
      <xdr:nvSpPr>
        <xdr:cNvPr id="13" name="ZoneTexte 1">
          <a:extLst>
            <a:ext uri="{FF2B5EF4-FFF2-40B4-BE49-F238E27FC236}">
              <a16:creationId xmlns:a16="http://schemas.microsoft.com/office/drawing/2014/main" id="{A7302561-CAFB-487F-83C4-BB00B813C746}"/>
            </a:ext>
          </a:extLst>
        </xdr:cNvPr>
        <xdr:cNvSpPr txBox="1"/>
      </xdr:nvSpPr>
      <xdr:spPr>
        <a:xfrm>
          <a:off x="0" y="10219735"/>
          <a:ext cx="1758950" cy="5386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1200" cap="none" spc="0" normalizeH="0" baseline="0" noProof="0">
              <a:ln>
                <a:noFill/>
              </a:ln>
              <a:solidFill>
                <a:prstClr val="white"/>
              </a:solidFill>
              <a:effectLst/>
              <a:uLnTx/>
              <a:uFillTx/>
              <a:latin typeface="+mn-lt"/>
              <a:ea typeface="+mn-ea"/>
              <a:cs typeface="+mn-cs"/>
            </a:rPr>
            <a:t>Le titre du tableau est en vert</a:t>
          </a:r>
        </a:p>
      </xdr:txBody>
    </xdr:sp>
    <xdr:clientData/>
  </xdr:twoCellAnchor>
  <xdr:twoCellAnchor>
    <xdr:from>
      <xdr:col>2</xdr:col>
      <xdr:colOff>2268</xdr:colOff>
      <xdr:row>44</xdr:row>
      <xdr:rowOff>82550</xdr:rowOff>
    </xdr:from>
    <xdr:to>
      <xdr:col>2</xdr:col>
      <xdr:colOff>1211035</xdr:colOff>
      <xdr:row>54</xdr:row>
      <xdr:rowOff>108857</xdr:rowOff>
    </xdr:to>
    <xdr:cxnSp macro="">
      <xdr:nvCxnSpPr>
        <xdr:cNvPr id="29" name="Connecteur droit avec flèche 14">
          <a:extLst>
            <a:ext uri="{FF2B5EF4-FFF2-40B4-BE49-F238E27FC236}">
              <a16:creationId xmlns:a16="http://schemas.microsoft.com/office/drawing/2014/main" id="{D104D7E7-650D-4406-8B2F-000EB12CD9D8}"/>
            </a:ext>
          </a:extLst>
        </xdr:cNvPr>
        <xdr:cNvCxnSpPr/>
      </xdr:nvCxnSpPr>
      <xdr:spPr>
        <a:xfrm>
          <a:off x="5594804" y="8137979"/>
          <a:ext cx="1208767" cy="23667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46</xdr:row>
      <xdr:rowOff>123825</xdr:rowOff>
    </xdr:from>
    <xdr:to>
      <xdr:col>3</xdr:col>
      <xdr:colOff>312964</xdr:colOff>
      <xdr:row>54</xdr:row>
      <xdr:rowOff>122464</xdr:rowOff>
    </xdr:to>
    <xdr:cxnSp macro="">
      <xdr:nvCxnSpPr>
        <xdr:cNvPr id="32" name="Connecteur droit avec flèche 19">
          <a:extLst>
            <a:ext uri="{FF2B5EF4-FFF2-40B4-BE49-F238E27FC236}">
              <a16:creationId xmlns:a16="http://schemas.microsoft.com/office/drawing/2014/main" id="{8A39A55C-8D1C-4D5A-8868-B2FA7698A57E}"/>
            </a:ext>
          </a:extLst>
        </xdr:cNvPr>
        <xdr:cNvCxnSpPr/>
      </xdr:nvCxnSpPr>
      <xdr:spPr>
        <a:xfrm>
          <a:off x="5592536" y="8914039"/>
          <a:ext cx="4041321" cy="160428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xdr:colOff>
      <xdr:row>47</xdr:row>
      <xdr:rowOff>95250</xdr:rowOff>
    </xdr:from>
    <xdr:to>
      <xdr:col>8</xdr:col>
      <xdr:colOff>462643</xdr:colOff>
      <xdr:row>61</xdr:row>
      <xdr:rowOff>149679</xdr:rowOff>
    </xdr:to>
    <xdr:cxnSp macro="">
      <xdr:nvCxnSpPr>
        <xdr:cNvPr id="28" name="Connecteur droit avec flèche 22">
          <a:extLst>
            <a:ext uri="{FF2B5EF4-FFF2-40B4-BE49-F238E27FC236}">
              <a16:creationId xmlns:a16="http://schemas.microsoft.com/office/drawing/2014/main" id="{C029FD31-CA82-4D5F-BD37-C809CC514C2C}"/>
            </a:ext>
          </a:extLst>
        </xdr:cNvPr>
        <xdr:cNvCxnSpPr/>
      </xdr:nvCxnSpPr>
      <xdr:spPr>
        <a:xfrm>
          <a:off x="5608411" y="9252857"/>
          <a:ext cx="16598446" cy="253092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93</xdr:row>
      <xdr:rowOff>101023</xdr:rowOff>
    </xdr:from>
    <xdr:to>
      <xdr:col>0</xdr:col>
      <xdr:colOff>1714500</xdr:colOff>
      <xdr:row>97</xdr:row>
      <xdr:rowOff>66675</xdr:rowOff>
    </xdr:to>
    <xdr:sp macro="" textlink="">
      <xdr:nvSpPr>
        <xdr:cNvPr id="52" name="ZoneTexte 1">
          <a:extLst>
            <a:ext uri="{FF2B5EF4-FFF2-40B4-BE49-F238E27FC236}">
              <a16:creationId xmlns:a16="http://schemas.microsoft.com/office/drawing/2014/main" id="{FE814856-D81A-4225-A519-2A82D1C3FE89}"/>
            </a:ext>
          </a:extLst>
        </xdr:cNvPr>
        <xdr:cNvSpPr txBox="1"/>
      </xdr:nvSpPr>
      <xdr:spPr>
        <a:xfrm>
          <a:off x="0" y="18833523"/>
          <a:ext cx="1714500" cy="716107"/>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kern="1200" baseline="0">
              <a:solidFill>
                <a:schemeClr val="bg1"/>
              </a:solidFill>
            </a:rPr>
            <a:t>Tableau des résultats par catégorie et champ d'application</a:t>
          </a:r>
        </a:p>
        <a:p>
          <a:endParaRPr lang="fr-FR" sz="1200" b="0" kern="1200" baseline="0">
            <a:solidFill>
              <a:schemeClr val="bg1"/>
            </a:solidFill>
          </a:endParaRPr>
        </a:p>
      </xdr:txBody>
    </xdr:sp>
    <xdr:clientData/>
  </xdr:twoCellAnchor>
  <xdr:twoCellAnchor>
    <xdr:from>
      <xdr:col>0</xdr:col>
      <xdr:colOff>1714500</xdr:colOff>
      <xdr:row>94</xdr:row>
      <xdr:rowOff>173181</xdr:rowOff>
    </xdr:from>
    <xdr:to>
      <xdr:col>0</xdr:col>
      <xdr:colOff>3088409</xdr:colOff>
      <xdr:row>95</xdr:row>
      <xdr:rowOff>83850</xdr:rowOff>
    </xdr:to>
    <xdr:cxnSp macro="">
      <xdr:nvCxnSpPr>
        <xdr:cNvPr id="24" name="Connecteur droit avec flèche 30">
          <a:extLst>
            <a:ext uri="{FF2B5EF4-FFF2-40B4-BE49-F238E27FC236}">
              <a16:creationId xmlns:a16="http://schemas.microsoft.com/office/drawing/2014/main" id="{B0EF5D58-6166-404F-B492-D3ECEF540362}"/>
            </a:ext>
          </a:extLst>
        </xdr:cNvPr>
        <xdr:cNvCxnSpPr>
          <a:stCxn id="52" idx="3"/>
        </xdr:cNvCxnSpPr>
      </xdr:nvCxnSpPr>
      <xdr:spPr>
        <a:xfrm flipV="1">
          <a:off x="1714500" y="19093295"/>
          <a:ext cx="1373909" cy="98282"/>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107</xdr:row>
      <xdr:rowOff>29728</xdr:rowOff>
    </xdr:from>
    <xdr:to>
      <xdr:col>0</xdr:col>
      <xdr:colOff>1714500</xdr:colOff>
      <xdr:row>110</xdr:row>
      <xdr:rowOff>86591</xdr:rowOff>
    </xdr:to>
    <xdr:sp macro="" textlink="">
      <xdr:nvSpPr>
        <xdr:cNvPr id="55" name="ZoneTexte 1">
          <a:extLst>
            <a:ext uri="{FF2B5EF4-FFF2-40B4-BE49-F238E27FC236}">
              <a16:creationId xmlns:a16="http://schemas.microsoft.com/office/drawing/2014/main" id="{FB2C4207-FB14-49C2-B532-C5EB9C468560}"/>
            </a:ext>
          </a:extLst>
        </xdr:cNvPr>
        <xdr:cNvSpPr txBox="1"/>
      </xdr:nvSpPr>
      <xdr:spPr>
        <a:xfrm>
          <a:off x="0" y="21388819"/>
          <a:ext cx="1714500" cy="619704"/>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kern="1200" baseline="0">
              <a:solidFill>
                <a:schemeClr val="bg1"/>
              </a:solidFill>
            </a:rPr>
            <a:t>Tableau des résultats par catégorie Sujet</a:t>
          </a:r>
        </a:p>
        <a:p>
          <a:endParaRPr lang="fr-FR" sz="1200" b="1" kern="1200" baseline="0">
            <a:solidFill>
              <a:schemeClr val="bg1"/>
            </a:solidFill>
          </a:endParaRPr>
        </a:p>
      </xdr:txBody>
    </xdr:sp>
    <xdr:clientData/>
  </xdr:twoCellAnchor>
  <xdr:twoCellAnchor>
    <xdr:from>
      <xdr:col>0</xdr:col>
      <xdr:colOff>1714500</xdr:colOff>
      <xdr:row>107</xdr:row>
      <xdr:rowOff>86591</xdr:rowOff>
    </xdr:from>
    <xdr:to>
      <xdr:col>0</xdr:col>
      <xdr:colOff>3102841</xdr:colOff>
      <xdr:row>108</xdr:row>
      <xdr:rowOff>148791</xdr:rowOff>
    </xdr:to>
    <xdr:cxnSp macro="">
      <xdr:nvCxnSpPr>
        <xdr:cNvPr id="25" name="Connecteur droit avec flèche 36">
          <a:extLst>
            <a:ext uri="{FF2B5EF4-FFF2-40B4-BE49-F238E27FC236}">
              <a16:creationId xmlns:a16="http://schemas.microsoft.com/office/drawing/2014/main" id="{407FF3CC-EB5C-4E53-A6B6-41FEF41DDC4F}"/>
            </a:ext>
          </a:extLst>
        </xdr:cNvPr>
        <xdr:cNvCxnSpPr>
          <a:stCxn id="55" idx="3"/>
        </xdr:cNvCxnSpPr>
      </xdr:nvCxnSpPr>
      <xdr:spPr>
        <a:xfrm flipV="1">
          <a:off x="1714500" y="21445682"/>
          <a:ext cx="1388341" cy="24981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1149970</xdr:colOff>
      <xdr:row>69</xdr:row>
      <xdr:rowOff>123997</xdr:rowOff>
    </xdr:from>
    <xdr:to>
      <xdr:col>0</xdr:col>
      <xdr:colOff>2716329</xdr:colOff>
      <xdr:row>71</xdr:row>
      <xdr:rowOff>51487</xdr:rowOff>
    </xdr:to>
    <xdr:cxnSp macro="">
      <xdr:nvCxnSpPr>
        <xdr:cNvPr id="38" name="Connecteur droit avec flèche 12">
          <a:extLst>
            <a:ext uri="{FF2B5EF4-FFF2-40B4-BE49-F238E27FC236}">
              <a16:creationId xmlns:a16="http://schemas.microsoft.com/office/drawing/2014/main" id="{51A83DB7-650E-4386-A8CD-F7567148656A}"/>
            </a:ext>
          </a:extLst>
        </xdr:cNvPr>
        <xdr:cNvCxnSpPr>
          <a:stCxn id="35" idx="3"/>
        </xdr:cNvCxnSpPr>
      </xdr:nvCxnSpPr>
      <xdr:spPr>
        <a:xfrm flipV="1">
          <a:off x="1149970" y="14063468"/>
          <a:ext cx="1566359" cy="29383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69</xdr:row>
      <xdr:rowOff>163286</xdr:rowOff>
    </xdr:from>
    <xdr:to>
      <xdr:col>0</xdr:col>
      <xdr:colOff>1153145</xdr:colOff>
      <xdr:row>72</xdr:row>
      <xdr:rowOff>129210</xdr:rowOff>
    </xdr:to>
    <xdr:sp macro="" textlink="">
      <xdr:nvSpPr>
        <xdr:cNvPr id="35" name="ZoneTexte 1">
          <a:extLst>
            <a:ext uri="{FF2B5EF4-FFF2-40B4-BE49-F238E27FC236}">
              <a16:creationId xmlns:a16="http://schemas.microsoft.com/office/drawing/2014/main" id="{79C97719-97C2-4051-86FC-2B6ACC090987}"/>
            </a:ext>
          </a:extLst>
        </xdr:cNvPr>
        <xdr:cNvSpPr txBox="1"/>
      </xdr:nvSpPr>
      <xdr:spPr>
        <a:xfrm>
          <a:off x="0" y="13212536"/>
          <a:ext cx="1153145" cy="49660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kern="1200" baseline="0">
              <a:solidFill>
                <a:schemeClr val="bg1"/>
              </a:solidFill>
            </a:rPr>
            <a:t>Explications pour remplir chaque tableau</a:t>
          </a:r>
          <a:endParaRPr lang="fr-FR" sz="1100" b="0" kern="1200" baseline="0">
            <a:solidFill>
              <a:schemeClr val="bg1"/>
            </a:solidFill>
          </a:endParaRPr>
        </a:p>
      </xdr:txBody>
    </xdr:sp>
    <xdr:clientData/>
  </xdr:twoCellAnchor>
  <xdr:twoCellAnchor editAs="oneCell">
    <xdr:from>
      <xdr:col>0</xdr:col>
      <xdr:colOff>3172993</xdr:colOff>
      <xdr:row>91</xdr:row>
      <xdr:rowOff>4618</xdr:rowOff>
    </xdr:from>
    <xdr:to>
      <xdr:col>4</xdr:col>
      <xdr:colOff>895340</xdr:colOff>
      <xdr:row>118</xdr:row>
      <xdr:rowOff>87513</xdr:rowOff>
    </xdr:to>
    <xdr:pic>
      <xdr:nvPicPr>
        <xdr:cNvPr id="56" name="Image 17">
          <a:extLst>
            <a:ext uri="{FF2B5EF4-FFF2-40B4-BE49-F238E27FC236}">
              <a16:creationId xmlns:a16="http://schemas.microsoft.com/office/drawing/2014/main" id="{4112D145-8FE2-DB19-730F-EE9E7A6500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172993" y="18347459"/>
          <a:ext cx="12226689" cy="51451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136070</xdr:rowOff>
    </xdr:from>
    <xdr:to>
      <xdr:col>1</xdr:col>
      <xdr:colOff>1331851</xdr:colOff>
      <xdr:row>31</xdr:row>
      <xdr:rowOff>104253</xdr:rowOff>
    </xdr:to>
    <xdr:sp macro="" textlink="">
      <xdr:nvSpPr>
        <xdr:cNvPr id="2" name="ZoneTexte 1">
          <a:extLst>
            <a:ext uri="{FF2B5EF4-FFF2-40B4-BE49-F238E27FC236}">
              <a16:creationId xmlns:a16="http://schemas.microsoft.com/office/drawing/2014/main" id="{88D093B5-C1D1-45DF-ABC4-7B8422F1FAB4}"/>
            </a:ext>
          </a:extLst>
        </xdr:cNvPr>
        <xdr:cNvSpPr txBox="1"/>
      </xdr:nvSpPr>
      <xdr:spPr>
        <a:xfrm>
          <a:off x="0" y="7727637"/>
          <a:ext cx="5805284" cy="73587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1200" cap="none" spc="0" normalizeH="0" baseline="0" noProof="0">
              <a:ln>
                <a:noFill/>
              </a:ln>
              <a:solidFill>
                <a:sysClr val="windowText" lastClr="000000"/>
              </a:solidFill>
              <a:effectLst/>
              <a:uLnTx/>
              <a:uFillTx/>
              <a:latin typeface="+mn-lt"/>
              <a:ea typeface="+mn-ea"/>
              <a:cs typeface="+mn-cs"/>
            </a:rPr>
            <a:t>Notice de remplissage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rgbClr val="FF0000"/>
              </a:solidFill>
              <a:effectLst/>
              <a:uLnTx/>
              <a:uFillTx/>
              <a:latin typeface="+mn-lt"/>
              <a:ea typeface="+mn-ea"/>
              <a:cs typeface="+mn-cs"/>
            </a:rPr>
            <a:t>Ne remplir qu'un seul des deux tableaux ci-dessous (par serveur ou par coût, selon les informations disponibles), afin d'éviter les doubles comptages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67107</xdr:rowOff>
    </xdr:from>
    <xdr:to>
      <xdr:col>2</xdr:col>
      <xdr:colOff>1800947</xdr:colOff>
      <xdr:row>18</xdr:row>
      <xdr:rowOff>57727</xdr:rowOff>
    </xdr:to>
    <mc:AlternateContent xmlns:mc="http://schemas.openxmlformats.org/markup-compatibility/2006">
      <mc:Choice xmlns:cx1="http://schemas.microsoft.com/office/drawing/2015/9/8/chartex" Requires="cx1">
        <xdr:graphicFrame macro="">
          <xdr:nvGraphicFramePr>
            <xdr:cNvPr id="2" name="Graphique 1">
              <a:extLst>
                <a:ext uri="{FF2B5EF4-FFF2-40B4-BE49-F238E27FC236}">
                  <a16:creationId xmlns:a16="http://schemas.microsoft.com/office/drawing/2014/main" id="{BD542DBD-5108-55CB-9DB2-159B738C22D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600507"/>
              <a:ext cx="5458547" cy="265762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11545</xdr:colOff>
      <xdr:row>4</xdr:row>
      <xdr:rowOff>2307</xdr:rowOff>
    </xdr:from>
    <xdr:to>
      <xdr:col>9</xdr:col>
      <xdr:colOff>11544</xdr:colOff>
      <xdr:row>19</xdr:row>
      <xdr:rowOff>11545</xdr:rowOff>
    </xdr:to>
    <xdr:graphicFrame macro="">
      <xdr:nvGraphicFramePr>
        <xdr:cNvPr id="2" name="Graphique 1">
          <a:extLst>
            <a:ext uri="{FF2B5EF4-FFF2-40B4-BE49-F238E27FC236}">
              <a16:creationId xmlns:a16="http://schemas.microsoft.com/office/drawing/2014/main" id="{2B1B2B91-5535-EC3E-786B-82549F6D40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41</xdr:row>
      <xdr:rowOff>2307</xdr:rowOff>
    </xdr:from>
    <xdr:to>
      <xdr:col>15</xdr:col>
      <xdr:colOff>746125</xdr:colOff>
      <xdr:row>85</xdr:row>
      <xdr:rowOff>0</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635EA168-DC1A-E5A1-F382-AD4C0D5D3F8A}"/>
                </a:ext>
                <a:ext uri="{147F2762-F138-4A5C-976F-8EAC2B608ADB}">
                  <a16:predDERef xmlns:a16="http://schemas.microsoft.com/office/drawing/2014/main" pred="{2B1B2B91-5535-EC3E-786B-82549F6D40B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785350" y="7292107"/>
              <a:ext cx="14366875" cy="7820893"/>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3</xdr:col>
      <xdr:colOff>1008062</xdr:colOff>
      <xdr:row>125</xdr:row>
      <xdr:rowOff>135660</xdr:rowOff>
    </xdr:from>
    <xdr:to>
      <xdr:col>19</xdr:col>
      <xdr:colOff>332219</xdr:colOff>
      <xdr:row>167</xdr:row>
      <xdr:rowOff>132484</xdr:rowOff>
    </xdr:to>
    <mc:AlternateContent xmlns:mc="http://schemas.openxmlformats.org/markup-compatibility/2006">
      <mc:Choice xmlns:cx1="http://schemas.microsoft.com/office/drawing/2015/9/8/chartex" Requires="cx1">
        <xdr:graphicFrame macro="">
          <xdr:nvGraphicFramePr>
            <xdr:cNvPr id="4" name="Graphique 3">
              <a:extLst>
                <a:ext uri="{FF2B5EF4-FFF2-40B4-BE49-F238E27FC236}">
                  <a16:creationId xmlns:a16="http://schemas.microsoft.com/office/drawing/2014/main" id="{F84BB2B1-103A-0930-4AA8-08EF6BE30C15}"/>
                </a:ext>
                <a:ext uri="{147F2762-F138-4A5C-976F-8EAC2B608ADB}">
                  <a16:predDERef xmlns:a16="http://schemas.microsoft.com/office/drawing/2014/main" pred="{635EA168-DC1A-E5A1-F382-AD4C0D5D3F8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932862" y="22360660"/>
              <a:ext cx="18285257" cy="7464424"/>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5</xdr:col>
      <xdr:colOff>428057</xdr:colOff>
      <xdr:row>2</xdr:row>
      <xdr:rowOff>4589</xdr:rowOff>
    </xdr:from>
    <xdr:to>
      <xdr:col>11</xdr:col>
      <xdr:colOff>428056</xdr:colOff>
      <xdr:row>17</xdr:row>
      <xdr:rowOff>127747</xdr:rowOff>
    </xdr:to>
    <xdr:graphicFrame macro="">
      <xdr:nvGraphicFramePr>
        <xdr:cNvPr id="2" name="Graphique 1">
          <a:extLst>
            <a:ext uri="{FF2B5EF4-FFF2-40B4-BE49-F238E27FC236}">
              <a16:creationId xmlns:a16="http://schemas.microsoft.com/office/drawing/2014/main" id="{7B699C0F-FA1D-51CF-9C19-26F024ED71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450273</xdr:colOff>
      <xdr:row>10</xdr:row>
      <xdr:rowOff>129310</xdr:rowOff>
    </xdr:from>
    <xdr:to>
      <xdr:col>4</xdr:col>
      <xdr:colOff>126999</xdr:colOff>
      <xdr:row>18</xdr:row>
      <xdr:rowOff>173181</xdr:rowOff>
    </xdr:to>
    <xdr:graphicFrame macro="">
      <xdr:nvGraphicFramePr>
        <xdr:cNvPr id="4" name="Graphique 3">
          <a:extLst>
            <a:ext uri="{FF2B5EF4-FFF2-40B4-BE49-F238E27FC236}">
              <a16:creationId xmlns:a16="http://schemas.microsoft.com/office/drawing/2014/main" id="{4183A295-C424-DD92-2CCF-CB9583BAF248}"/>
            </a:ext>
            <a:ext uri="{147F2762-F138-4A5C-976F-8EAC2B608ADB}">
              <a16:predDERef xmlns:a16="http://schemas.microsoft.com/office/drawing/2014/main" pred="{5C6F689F-AC65-ABD8-54AE-38A6177AA7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23</xdr:row>
      <xdr:rowOff>0</xdr:rowOff>
    </xdr:from>
    <xdr:to>
      <xdr:col>8</xdr:col>
      <xdr:colOff>714375</xdr:colOff>
      <xdr:row>37</xdr:row>
      <xdr:rowOff>76200</xdr:rowOff>
    </xdr:to>
    <mc:AlternateContent xmlns:mc="http://schemas.openxmlformats.org/markup-compatibility/2006">
      <mc:Choice xmlns:cx1="http://schemas.microsoft.com/office/drawing/2015/9/8/chartex" Requires="cx1">
        <xdr:graphicFrame macro="">
          <xdr:nvGraphicFramePr>
            <xdr:cNvPr id="5" name="Graphique 4">
              <a:extLst>
                <a:ext uri="{FF2B5EF4-FFF2-40B4-BE49-F238E27FC236}">
                  <a16:creationId xmlns:a16="http://schemas.microsoft.com/office/drawing/2014/main" id="{667B1D83-FE13-E616-746E-B0F9F0D03610}"/>
                </a:ext>
                <a:ext uri="{147F2762-F138-4A5C-976F-8EAC2B608ADB}">
                  <a16:predDERef xmlns:a16="http://schemas.microsoft.com/office/drawing/2014/main" pred="{4183A295-C424-DD92-2CCF-CB9583BAF24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756775" y="4089400"/>
              <a:ext cx="5467350" cy="25654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106613</xdr:colOff>
      <xdr:row>16</xdr:row>
      <xdr:rowOff>16711</xdr:rowOff>
    </xdr:from>
    <xdr:to>
      <xdr:col>6</xdr:col>
      <xdr:colOff>410140</xdr:colOff>
      <xdr:row>21</xdr:row>
      <xdr:rowOff>95250</xdr:rowOff>
    </xdr:to>
    <xdr:sp macro="" textlink="">
      <xdr:nvSpPr>
        <xdr:cNvPr id="248" name="ZoneTexte 1">
          <a:extLst>
            <a:ext uri="{FF2B5EF4-FFF2-40B4-BE49-F238E27FC236}">
              <a16:creationId xmlns:a16="http://schemas.microsoft.com/office/drawing/2014/main" id="{95243F2B-1015-48C7-A449-84ACF5F3A8DE}"/>
            </a:ext>
          </a:extLst>
        </xdr:cNvPr>
        <xdr:cNvSpPr txBox="1"/>
      </xdr:nvSpPr>
      <xdr:spPr>
        <a:xfrm>
          <a:off x="106613" y="5146604"/>
          <a:ext cx="9706063" cy="96300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100" b="1" i="0" u="none" strike="noStrike" kern="1200" cap="none" spc="0" normalizeH="0" baseline="0" noProof="0">
              <a:ln>
                <a:noFill/>
              </a:ln>
              <a:solidFill>
                <a:sysClr val="windowText" lastClr="000000"/>
              </a:solidFill>
              <a:effectLst/>
              <a:uLnTx/>
              <a:uFillTx/>
              <a:latin typeface="+mn-lt"/>
              <a:ea typeface="+mn-ea"/>
              <a:cs typeface="+mn-cs"/>
            </a:rPr>
            <a:t>Notice de remplissage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mn-lt"/>
              <a:ea typeface="+mn-ea"/>
              <a:cs typeface="+mn-cs"/>
            </a:rPr>
            <a:t>Modifiez l'ID du contrôle NIST sur lequel vous souhaitez vous concentrer, dans la cellule supérieure.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mn-lt"/>
              <a:ea typeface="+mn-ea"/>
              <a:cs typeface="+mn-cs"/>
            </a:rPr>
            <a:t>Les émissions correspondantes se rempliront automatiquement.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mn-lt"/>
              <a:ea typeface="+mn-ea"/>
              <a:cs typeface="+mn-cs"/>
            </a:rPr>
            <a:t>Vous pouvez ensuite identifier les actions visant à réduire les émissions liées à ce contrôle.</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igiplace.sharepoint.com/sites/WICCYBERSUSTAINABILITY/Documents%20partages/07%20-%20Methodo%20v2/V2.0/Template%20EN%20v1.9%20-%20Cybersecurity%20Data%20Collection.xlsx" TargetMode="External"/><Relationship Id="rId1" Type="http://schemas.openxmlformats.org/officeDocument/2006/relationships/externalLinkPath" Target="Template%20EN%20v1.9%20-%20Cybersecurity%20Data%20Coll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0 Methodology Presentation"/>
      <sheetName val="0.1 READ ME"/>
      <sheetName val="1.0 Mapping org &amp; Follow up"/>
      <sheetName val="1.1 Staff Location"/>
      <sheetName val="1.2 DC Map"/>
      <sheetName val="1.3 Devices"/>
      <sheetName val="1.4 Network"/>
      <sheetName val="1.5 Servers on premise"/>
      <sheetName val="1.6 Cyber solutions"/>
      <sheetName val="1.7 External services"/>
      <sheetName val="1.8 Travel"/>
      <sheetName val="2.1 Mapping Devices"/>
      <sheetName val="2.2 Mapping Network"/>
      <sheetName val="2.3 Mapping Servers on premise"/>
      <sheetName val="2.4 Mapping Cyber solutions"/>
      <sheetName val="2.5 Mapping External services"/>
      <sheetName val="2.6 Mapping Travel"/>
      <sheetName val="3.0 Assumptions"/>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person displayName="VALLÉE Nicolas" id="{D885495E-6A0C-43A9-A2A8-28FA99CC3AAD}" userId="S::nicolas.vallee@wavestone.com::66031bbb-5996-48b1-9fcb-f766957da8f4" providerId="AD"/>
  <person displayName="OUEDRAOGO Aminata" id="{9501EA10-5CE1-4339-A0AE-5A3387596C12}" userId="S::aminata.ouedraogo@wavestone.com::faeb777d-181a-4d85-9a24-5da83732356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8AC9A2C-398C-4B96-BB40-CF62CDCF5EF7}" name="Referential_NIST_Topic" displayName="Referential_NIST_Topic" ref="A2:A16" totalsRowShown="0" headerRowDxfId="713" dataDxfId="711" headerRowBorderDxfId="712" tableBorderDxfId="710">
  <autoFilter ref="A2:A16" xr:uid="{68AC9A2C-398C-4B96-BB40-CF62CDCF5EF7}"/>
  <tableColumns count="1">
    <tableColumn id="1" xr3:uid="{9D116E99-264B-461E-9A22-FEC282F9002F}" name="Sujet" dataDxfId="709"/>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44FA12-DE4C-4BA7-A25D-6B35C4163F05}" name="Pare_feu_Reseau" displayName="Pare_feu_Reseau" ref="B23:M26" totalsRowShown="0" headerRowDxfId="612" dataDxfId="610" headerRowBorderDxfId="611" tableBorderDxfId="609">
  <autoFilter ref="B23:M26" xr:uid="{8244FA12-DE4C-4BA7-A25D-6B35C4163F05}"/>
  <tableColumns count="12">
    <tableColumn id="6" xr3:uid="{C6B281CF-87C2-4B3A-A1B5-3B8FA23F11DA}" name="ID du DC" dataDxfId="608"/>
    <tableColumn id="14" xr3:uid="{ACC61F7A-747A-4EA1-B94B-125183D9E85A}" name="PUE" dataDxfId="607"/>
    <tableColumn id="4" xr3:uid="{B1F57ED5-50FE-4296-A4A2-7845C5275618}" name="Quantité " dataDxfId="606"/>
    <tableColumn id="5" xr3:uid="{E924B15B-0FA8-4BDF-983F-7ACE50FCD9E3}" name="Durée de vie" dataDxfId="605"/>
    <tableColumn id="1" xr3:uid="{9971763C-9DE2-4E9D-9383-1FDD75BD70DD}" name="Localisation" dataDxfId="604"/>
    <tableColumn id="2" xr3:uid="{242216FE-9EA3-4227-A0CC-365DD4A3F23F}" name="Mix électrique (kgCO2e/kWh)" dataDxfId="603">
      <calculatedColumnFormula>IFERROR(VLOOKUP(Pare_feu_Reseau[[#This Row],[Localisation]],Mix_électrique[],2,FALSE),0)</calculatedColumnFormula>
    </tableColumn>
    <tableColumn id="8" xr3:uid="{FA7B16D5-2CC7-4F97-A56F-B787B00121C2}" name="Facteur d'émission" dataDxfId="602">
      <calculatedColumnFormula>'3.2 Facteurs d''émission'!FE_Firewalls</calculatedColumnFormula>
    </tableColumn>
    <tableColumn id="9" xr3:uid="{7F441C2F-40C6-4E88-984D-A248A2B15CF2}" name="Consommation électrique (kWh/an/unité)" dataDxfId="601">
      <calculatedColumnFormula>VLOOKUP(Pare_feu_Reseau[[#This Row],[Facteur d''émission]],Tableau31[[Nom]:[Consommation (kWh/an)]],6,FALSE)</calculatedColumnFormula>
    </tableColumn>
    <tableColumn id="10" xr3:uid="{CC980F95-26CB-4881-8646-AA98B1D1099F}" name="Fabrication (kgCO2e/unité)" dataDxfId="600">
      <calculatedColumnFormula>VLOOKUP(Pare_feu_Reseau[[#This Row],[Facteur d''émission]],Tableau31[[Nom]:[Consommation (kWh/an)]],5,FALSE)</calculatedColumnFormula>
    </tableColumn>
    <tableColumn id="11" xr3:uid="{FF2C17EE-8C80-4E7C-9FEF-821FF20D324A}" name="Champ d'application 2 (kgC02e)" dataDxfId="599">
      <calculatedColumnFormula>Pare_feu_Reseau[[#This Row],[Consommation électrique (kWh/an/unité)]]*Pare_feu_Reseau[[#This Row],[Mix électrique (kgCO2e/kWh)]]*Pare_feu_Reseau[[#This Row],[Quantité ]]*Pare_feu_Reseau[[#This Row],[PUE]]</calculatedColumnFormula>
    </tableColumn>
    <tableColumn id="15" xr3:uid="{A8A61A58-16F2-411D-865F-4CB68C6C302F}" name="Champ d'application 3 (kgC02e)" dataDxfId="598">
      <calculatedColumnFormula>IFERROR(Pare_feu_Reseau[[#This Row],[Fabrication (kgCO2e/unité)]]*Pare_feu_Reseau[[#This Row],[Quantité ]]/Pare_feu_Reseau[[#This Row],[Durée de vie]],0)</calculatedColumnFormula>
    </tableColumn>
    <tableColumn id="16" xr3:uid="{C42F91DC-B0D5-4039-8160-2BF227D784A4}" name="Émissions totales (kgC02e)" dataDxfId="597">
      <calculatedColumnFormula>Pare_feu_Reseau[[#This Row],[Champ d''application 2 (kgC02e)]]+Pare_feu_Reseau[[#This Row],[Champ d''application 3 (kgC02e)]]</calculatedColumnFormula>
    </tableColumn>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9C8567A-F56C-4E52-94DE-B4FA0639744A}" name="IPS_IDS_Reseau" displayName="IPS_IDS_Reseau" ref="B32:M35" totalsRowShown="0" headerRowDxfId="596" dataDxfId="594" headerRowBorderDxfId="595" tableBorderDxfId="593">
  <autoFilter ref="B32:M35" xr:uid="{69C8567A-F56C-4E52-94DE-B4FA0639744A}"/>
  <tableColumns count="12">
    <tableColumn id="6" xr3:uid="{EDBF23F4-1C90-46EC-86B3-66F79F571C5C}" name="ID du DC" dataDxfId="592"/>
    <tableColumn id="14" xr3:uid="{105F422D-1C4A-4A1B-BDDB-E6BB1539A28D}" name="PUE" dataDxfId="591"/>
    <tableColumn id="4" xr3:uid="{FF0DBC54-461D-4E6F-87F5-0B1272729A27}" name="Quantité " dataDxfId="590"/>
    <tableColumn id="5" xr3:uid="{6F171FE5-1078-4B84-BDEB-FFB9AB7C863A}" name="Durée de vie" dataDxfId="589"/>
    <tableColumn id="1" xr3:uid="{815584AA-D625-4EAF-885D-859D94998437}" name="Localisation" dataDxfId="588"/>
    <tableColumn id="2" xr3:uid="{2D0355BF-C4DA-46DB-BDB7-B9E3AC46F1DC}" name="Mix électrique (kgCO2e/kWh)" dataDxfId="587">
      <calculatedColumnFormula>IFERROR(VLOOKUP(IPS_IDS_Reseau[[#This Row],[Localisation]],Mix_électrique[],2,FALSE),0)</calculatedColumnFormula>
    </tableColumn>
    <tableColumn id="8" xr3:uid="{801D7EC2-DE72-4641-B763-A5C472A105F9}" name="Facteur d'émission" dataDxfId="586">
      <calculatedColumnFormula>'3.2 Facteurs d''émission'!FE_Firewalls</calculatedColumnFormula>
    </tableColumn>
    <tableColumn id="9" xr3:uid="{B8C62FA4-9653-461C-AD40-61A84E03F395}" name="Consommation électrique (kWh/an/unité)" dataDxfId="585">
      <calculatedColumnFormula>VLOOKUP(IPS_IDS_Reseau[[#This Row],[Facteur d''émission]],Tableau31[[Nom]:[Consommation (kWh/an)]],6,FALSE)</calculatedColumnFormula>
    </tableColumn>
    <tableColumn id="10" xr3:uid="{4EA1529E-6B6A-4021-9396-0FE3152B5028}" name="Fabrication (kgCO2e/unité)" dataDxfId="584">
      <calculatedColumnFormula>VLOOKUP(IPS_IDS_Reseau[[#This Row],[Facteur d''émission]],Tableau31[[Nom]:[Consommation (kWh/an)]],5,FALSE)</calculatedColumnFormula>
    </tableColumn>
    <tableColumn id="11" xr3:uid="{850EE63D-7308-4C33-B0D8-1AD37C1FB945}" name="Champ d'application 2 (kgC02e)" dataDxfId="583">
      <calculatedColumnFormula>IPS_IDS_Reseau[[#This Row],[Consommation électrique (kWh/an/unité)]]*IPS_IDS_Reseau[[#This Row],[Mix électrique (kgCO2e/kWh)]]*IPS_IDS_Reseau[[#This Row],[Quantité ]]*IPS_IDS_Reseau[[#This Row],[PUE]]</calculatedColumnFormula>
    </tableColumn>
    <tableColumn id="15" xr3:uid="{7761E846-FBCB-4CAA-B208-4C6007A8CC8D}" name="Champ d'application 3 (kgC02e)" dataDxfId="582">
      <calculatedColumnFormula>IFERROR(IPS_IDS_Reseau[[#This Row],[Fabrication (kgCO2e/unité)]]*IPS_IDS_Reseau[[#This Row],[Quantité ]]/IPS_IDS_Reseau[[#This Row],[Durée de vie]],0)</calculatedColumnFormula>
    </tableColumn>
    <tableColumn id="16" xr3:uid="{DF74D51C-D559-4847-AFCD-2B10D958C999}" name="Émissions totales (kgC02e)" dataDxfId="581">
      <calculatedColumnFormula>IPS_IDS_Reseau[[#This Row],[Champ d''application 2 (kgC02e)]]+IPS_IDS_Reseau[[#This Row],[Champ d''application 3 (kgC02e)]]</calculatedColumnFormula>
    </tableColumn>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500B57F-BDAB-4A4A-8CFF-EB968238D321}" name="Serveurs_de_sauvegarde" displayName="Serveurs_de_sauvegarde" ref="B14:S25" totalsRowShown="0" headerRowDxfId="580" headerRowBorderDxfId="579" tableBorderDxfId="578">
  <autoFilter ref="B14:S25" xr:uid="{F500B57F-BDAB-4A4A-8CFF-EB968238D321}"/>
  <tableColumns count="18">
    <tableColumn id="17" xr3:uid="{45CEC39A-21AB-420C-96A0-904565F02585}" name="ID du centre de données" dataDxfId="577"/>
    <tableColumn id="1" xr3:uid="{1293CD36-9AD3-4BCD-B56F-D9F112B97725}" name="ID des serveurs" dataDxfId="576"/>
    <tableColumn id="4" xr3:uid="{86F2AED2-19B1-486C-932A-2C2B9E29F818}" name="Type de serveur (PROD,TEST)" dataDxfId="575"/>
    <tableColumn id="20" xr3:uid="{F22BD897-D92D-4DA4-B472-0A4B2C9142D5}" name="Catégorie Cyber" dataDxfId="574"/>
    <tableColumn id="21" xr3:uid="{23B41D85-CBE9-49D4-A327-134E965BCB6C}" name="Durée de vie du serveur" dataDxfId="573"/>
    <tableColumn id="2" xr3:uid="{7AED325A-1E29-4D58-91BF-ED2F83980701}" name="Emplacement du serveur " dataDxfId="572"/>
    <tableColumn id="3" xr3:uid="{9C512FF5-0254-423C-88E0-494F281F17F8}" name="PUE" dataDxfId="571"/>
    <tableColumn id="15" xr3:uid="{7F026B82-7E8C-4130-8481-CDE93CB4B423}" name="Serveurs physiques (unité)" dataDxfId="570"/>
    <tableColumn id="5" xr3:uid="{B3BAEAF7-A60D-496A-8236-232F7D9FBF71}" name="CPU physiques (unité)" dataDxfId="569"/>
    <tableColumn id="7" xr3:uid="{54C4742C-0ABE-4BC9-BBC3-B433804AB311}" name="RAM (GB)" dataDxfId="568"/>
    <tableColumn id="8" xr3:uid="{9BE5FA7E-5517-4A4D-BB04-FA6F85C60D9C}" name="Disque dur (unité)" dataDxfId="567"/>
    <tableColumn id="10" xr3:uid="{175719D0-88C7-4872-8CC2-B991B44CFB2E}" name="SSD (GB)" dataDxfId="566"/>
    <tableColumn id="22" xr3:uid="{A4D8C4E4-53BE-45C4-ACC3-4431BA5E1FB3}" name="Commentaire" dataDxfId="565"/>
    <tableColumn id="6" xr3:uid="{5351F761-4746-4E1D-8A8E-A1B835B6556C}" name="Mix électrique (kgCO2e / kWh)" dataDxfId="564">
      <calculatedColumnFormula>IFERROR(VLOOKUP(Serveurs_de_sauvegarde[[#This Row],[Emplacement du serveur ]],Mix_électrique[],2,FALSE),0)</calculatedColumnFormula>
    </tableColumn>
    <tableColumn id="16" xr3:uid="{A41BE6EA-FE21-4E28-8A87-D9741E09D772}" name="Consommation électrique (kWh)" dataDxfId="563">
      <calculatedColumnFormula>Serveurs_de_sauvegarde[[#This Row],[CPU physiques (unité)]]*'3.2 Facteurs d''émission'!$M$53*Serveurs_de_sauvegarde[[#This Row],[PUE]]</calculatedColumnFormula>
    </tableColumn>
    <tableColumn id="14" xr3:uid="{6CD342AF-71DC-4353-BE6D-914EE33043DA}" name="Champ d'application 2 (kgCO2e)" dataDxfId="562">
      <calculatedColumnFormula>Serveurs_de_sauvegarde[[#This Row],[Mix électrique (kgCO2e / kWh)]]*Serveurs_de_sauvegarde[[#This Row],[Consommation électrique (kWh)]]</calculatedColumnFormula>
    </tableColumn>
    <tableColumn id="13" xr3:uid="{9FF0B220-A92B-42C8-9F3B-83643A5DE310}" name="Champ d'application 3 (kgCO2e)" dataDxfId="561">
      <calculatedColumnFormula>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calculatedColumnFormula>
    </tableColumn>
    <tableColumn id="12" xr3:uid="{13E65602-2F17-4AC4-98CF-B7CA21C2E84A}" name="Émissions totales (kgCO2e)" dataDxfId="560">
      <calculatedColumnFormula>Serveurs_de_sauvegarde[[#This Row],[Champ d''application 2 (kgCO2e)]]+Serveurs_de_sauvegarde[[#This Row],[Champ d''application 3 (kgCO2e)]]</calculatedColumnFormula>
    </tableColumn>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D46C675-C8F4-4C79-ABC5-2CA76ED13B4C}" name="Logiciels_sur_site" displayName="Logiciels_sur_site" ref="B14:V25" totalsRowShown="0" headerRowDxfId="559" dataDxfId="557" headerRowBorderDxfId="558" tableBorderDxfId="556">
  <autoFilter ref="B14:V25" xr:uid="{FA6E9567-4A2E-4274-A0CE-8347E41E1C08}"/>
  <tableColumns count="21">
    <tableColumn id="17" xr3:uid="{75198558-6CED-42CF-911E-2F2713069BA6}" name="ID du centre de données" dataDxfId="555"/>
    <tableColumn id="1" xr3:uid="{45D9F73D-D6E6-4CA2-A151-5E0E3B44509B}" name="ID de l'application" dataDxfId="554"/>
    <tableColumn id="11" xr3:uid="{376A9BE4-844B-461A-99E4-85C1BAF44C4F}" name="Nom de l'application" dataDxfId="553"/>
    <tableColumn id="9" xr3:uid="{39528323-5FB2-4932-9047-32DF1C14137B}" name="Description de l'application" dataDxfId="552"/>
    <tableColumn id="21" xr3:uid="{784D5B1B-DF74-403D-90AB-D5BD7B75EFB7}" name="Durée de vie des serveurs" dataDxfId="551"/>
    <tableColumn id="2" xr3:uid="{EAEC53B4-3DD0-45DA-AC4A-FE51CDF18465}" name="Emplacements des serveurs " dataDxfId="550"/>
    <tableColumn id="3" xr3:uid="{E91CD4F8-913B-45C4-9CFE-5D516B0D6512}" name="PUE" dataDxfId="549"/>
    <tableColumn id="15" xr3:uid="{B1E5F29A-8B05-4646-8C1A-7FD703C578F7}" name="Serveurs physiques (unité)" dataDxfId="548"/>
    <tableColumn id="4" xr3:uid="{5F3AC42A-88B9-4C06-8EEE-648E5505EA1F}" name="vCPU (unité)" dataDxfId="547"/>
    <tableColumn id="5" xr3:uid="{302A7A13-02C4-46EB-972C-9E0A1FBB01CE}" name="CPU physiques (unité)" dataDxfId="546"/>
    <tableColumn id="7" xr3:uid="{DEE2E961-7DBA-4550-8588-AA10176E241A}" name="RAM (GB)" dataDxfId="545"/>
    <tableColumn id="8" xr3:uid="{60BD7BC6-DED7-4E58-A195-62BD9DD36E13}" name="Disque dur/HDD (unité)" dataDxfId="544"/>
    <tableColumn id="10" xr3:uid="{E065A136-D233-4BCD-9D56-C369C4826566}" name="SSD (GB)" dataDxfId="543"/>
    <tableColumn id="22" xr3:uid="{5CB1A5AE-F9BA-42A4-B110-748CB1B2F2DF}" name="Commentaire" dataDxfId="542"/>
    <tableColumn id="6" xr3:uid="{5736FF8A-E58A-437F-AA8A-0F7EEF67EBF2}" name="Mix électrique (kgCO2e / kWh)" dataDxfId="541">
      <calculatedColumnFormula>IFERROR(VLOOKUP(Logiciels_sur_site[[#This Row],[Emplacements des serveurs ]],Mix_électrique[],2,FALSE),0)</calculatedColumnFormula>
    </tableColumn>
    <tableColumn id="19" xr3:uid="{50F473B3-9B7F-4D10-933F-90380C9CB7F4}" name="Serveur physique calculé (unité)" dataDxfId="540">
      <calculatedColumnFormula>IF(Logiciels_sur_site[[#This Row],[Serveurs physiques (unité)]]="",Logiciels_sur_site[[#This Row],[CPU physique calculée (unité)]]/'3.3 Hypothèses'!$D$12,Logiciels_sur_site[[#This Row],[Serveurs physiques (unité)]])</calculatedColumnFormula>
    </tableColumn>
    <tableColumn id="18" xr3:uid="{57A1B96B-3560-4BEB-8758-533A5C823B7F}" name="CPU physique calculée (unité)" dataDxfId="539">
      <calculatedColumnFormula>Logiciels_sur_site[[#This Row],[vCPU (unité)]]/'3.3 Hypothèses'!$D$13+Logiciels_sur_site[[#This Row],[CPU physiques (unité)]]</calculatedColumnFormula>
    </tableColumn>
    <tableColumn id="16" xr3:uid="{232E53B9-8895-4A62-9F3B-98C674647F1D}" name="Consommation électrique (kWh)" dataDxfId="538">
      <calculatedColumnFormula>Logiciels_sur_site[[#This Row],[CPU physique calculée (unité)]]*'3.2 Facteurs d''émission'!$M$53*Logiciels_sur_site[[#This Row],[PUE]]</calculatedColumnFormula>
    </tableColumn>
    <tableColumn id="14" xr3:uid="{0D2C65DF-9767-43BD-A110-F718EC1860D1}" name="Champ d'application 2 (kgCO2e)" dataDxfId="537">
      <calculatedColumnFormula>Logiciels_sur_site[[#This Row],[Mix électrique (kgCO2e / kWh)]]*Logiciels_sur_site[[#This Row],[Consommation électrique (kWh)]]</calculatedColumnFormula>
    </tableColumn>
    <tableColumn id="13" xr3:uid="{F8F79019-2694-4E76-AF3E-FF866654EAA4}" name="Champ d'application 3 (kgCO2e)" dataDxfId="536">
      <calculatedColumnFormula>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calculatedColumnFormula>
    </tableColumn>
    <tableColumn id="12" xr3:uid="{5DE30545-DA4E-4D64-8C56-9DEAB574CA30}" name="Émissions totales (kgCO2e)" dataDxfId="535">
      <calculatedColumnFormula>Logiciels_sur_site[[#This Row],[Champ d''application 2 (kgCO2e)]]+Logiciels_sur_site[[#This Row],[Champ d''application 3 (kgCO2e)]]</calculatedColumnFormula>
    </tableColumn>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1970345-7ED7-4727-9F59-5008CF7139D2}" name="Methodologie_du_serveur_logiciels_sur_cloud" displayName="Methodologie_du_serveur_logiciels_sur_cloud" ref="B35:V46" totalsRowShown="0" headerRowDxfId="534" dataDxfId="532" headerRowBorderDxfId="533" tableBorderDxfId="531">
  <autoFilter ref="B35:V46" xr:uid="{61970345-7ED7-4727-9F59-5008CF7139D2}"/>
  <tableColumns count="21">
    <tableColumn id="17" xr3:uid="{A15B985A-2C25-4A26-9420-72825576FCA1}" name="ID du centre de données" dataDxfId="530"/>
    <tableColumn id="1" xr3:uid="{760C540D-1BB4-4063-AB5E-366B590F9F3B}" name="ID de l'application" dataDxfId="529"/>
    <tableColumn id="11" xr3:uid="{877AFCFB-C3B4-498B-BDAE-3C479295B2E0}" name="Nom de l'application" dataDxfId="528"/>
    <tableColumn id="9" xr3:uid="{11E3036E-966A-4975-AB22-C56C943833D9}" name="Description de l'application" dataDxfId="527"/>
    <tableColumn id="21" xr3:uid="{65564C62-47C2-4900-891D-B9F3ED462596}" name="Durée de vie des serveurs" dataDxfId="526"/>
    <tableColumn id="2" xr3:uid="{74C46709-0E58-4F38-92B5-EB449596BF18}" name="Emplacements des serveurs " dataDxfId="525"/>
    <tableColumn id="3" xr3:uid="{3176B88B-1DAA-4359-A326-C3712F2C97DD}" name="PUE" dataDxfId="524"/>
    <tableColumn id="15" xr3:uid="{D6B3C2C3-5D40-432F-A0E3-54AE506F9ABE}" name="Serveurs physiques (unité)" dataDxfId="523"/>
    <tableColumn id="4" xr3:uid="{50D46279-EBBA-4172-B3B5-68B1BCAD9EF3}" name="vCPU (unité)" dataDxfId="522"/>
    <tableColumn id="5" xr3:uid="{06746AA3-E413-432C-8C8E-7D6C1BF99E9D}" name="CPU physiques (unité)" dataDxfId="521"/>
    <tableColumn id="7" xr3:uid="{0FDB58D4-74D6-4364-98E4-90C49EEF2500}" name="RAM (GB)" dataDxfId="520"/>
    <tableColumn id="8" xr3:uid="{AFF04BD3-E79A-44DD-972E-7AF3AC21E160}" name="Disque dur/HDD (unité)" dataDxfId="519"/>
    <tableColumn id="10" xr3:uid="{A93935EF-17BC-42E0-AF32-8624A8C4DB6C}" name="SSD (GB)" dataDxfId="518"/>
    <tableColumn id="22" xr3:uid="{C3434D22-EECC-4867-97E2-251F14D45926}" name="Commentaire" dataDxfId="517"/>
    <tableColumn id="6" xr3:uid="{1310592D-3993-4343-A7FF-6C7DF1717AF5}" name="Mix électrique (kgCO2e / kWh)" dataDxfId="516">
      <calculatedColumnFormula>IFERROR(VLOOKUP(Methodologie_du_serveur_logiciels_sur_cloud[[#This Row],[Emplacements des serveurs ]],Mix_électrique[],2,FALSE),0)</calculatedColumnFormula>
    </tableColumn>
    <tableColumn id="19" xr3:uid="{2A82FF16-27AE-4F3C-9043-9F1262339AF0}" name="Serveur physique calculé (unité)" dataDxfId="515">
      <calculatedColumnFormula>IF(Methodologie_du_serveur_logiciels_sur_cloud[[#This Row],[Serveurs physiques (unité)]]="",Methodologie_du_serveur_logiciels_sur_cloud[[#This Row],[CPU physique calculée (unité)]]/'3.3 Hypothèses'!$D$12,Methodologie_du_serveur_logiciels_sur_cloud[[#This Row],[Serveurs physiques (unité)]])</calculatedColumnFormula>
    </tableColumn>
    <tableColumn id="18" xr3:uid="{E1387882-7685-413F-8D4C-7DE3E5E99194}" name="CPU physique calculée (unité)" dataDxfId="514">
      <calculatedColumnFormula>Methodologie_du_serveur_logiciels_sur_cloud[[#This Row],[vCPU (unité)]]/'3.3 Hypothèses'!$D$13+Methodologie_du_serveur_logiciels_sur_cloud[[#This Row],[CPU physiques (unité)]]</calculatedColumnFormula>
    </tableColumn>
    <tableColumn id="16" xr3:uid="{8E6AB6AC-E933-4DB4-9955-C36FF5CF74DD}" name="Consommation électrique (kWh)" dataDxfId="513">
      <calculatedColumnFormula>Methodologie_du_serveur_logiciels_sur_cloud[[#This Row],[CPU physique calculée (unité)]]*'3.2 Facteurs d''émission'!$M$53*Methodologie_du_serveur_logiciels_sur_cloud[[#This Row],[PUE]]</calculatedColumnFormula>
    </tableColumn>
    <tableColumn id="14" xr3:uid="{6E4BD4BB-401C-48AF-A66A-8CE5AEC06523}" name="Champ d'application 2 (kgCO2e)" dataDxfId="512">
      <calculatedColumnFormula>Methodologie_du_serveur_logiciels_sur_cloud[[#This Row],[Mix électrique (kgCO2e / kWh)]]*Methodologie_du_serveur_logiciels_sur_cloud[[#This Row],[Consommation électrique (kWh)]]</calculatedColumnFormula>
    </tableColumn>
    <tableColumn id="13" xr3:uid="{A53F2D90-A050-4EA8-BF11-A6C67B0B7282}" name="Champ d'application 3 (kgCO2e)" dataDxfId="511">
      <calculatedColumnFormula>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calculatedColumnFormula>
    </tableColumn>
    <tableColumn id="12" xr3:uid="{65C584E8-A989-4149-AE59-F60D490499E9}" name="Émissions totales (kgCO2e)" dataDxfId="510">
      <calculatedColumnFormula>Methodologie_du_serveur_logiciels_sur_cloud[[#This Row],[Champ d''application 2 (kgCO2e)]]+Methodologie_du_serveur_logiciels_sur_cloud[[#This Row],[Champ d''application 3 (kgCO2e)]]</calculatedColumnFormula>
    </tableColumn>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8682E58-B4F8-410C-A442-5D0F5108BDED}" name="Methodogie_des_couts_Logiciels_dans_le_cloud" displayName="Methodogie_des_couts_Logiciels_dans_le_cloud" ref="B50:H61" totalsRowShown="0" headerRowDxfId="509" dataDxfId="507" headerRowBorderDxfId="508" tableBorderDxfId="506">
  <autoFilter ref="B50:H61" xr:uid="{48682E58-B4F8-410C-A442-5D0F5108BDED}"/>
  <tableColumns count="7">
    <tableColumn id="1" xr3:uid="{22CCFC88-DF6E-46E7-A242-E910F958D792}" name="ID de la demande" dataDxfId="505"/>
    <tableColumn id="11" xr3:uid="{0FCE2D19-4AA7-4EF9-8E82-AA600A89AA60}" name="Nom de l'application" dataDxfId="504"/>
    <tableColumn id="6" xr3:uid="{391B0D73-010D-4341-99E3-2BA4EC99A2B8}" name="Description de l'application" dataDxfId="503"/>
    <tableColumn id="10" xr3:uid="{3429DE39-C460-4321-8A0F-52ADDDA8D177}" name="Coût (k€)" dataDxfId="502"/>
    <tableColumn id="22" xr3:uid="{CDA86303-3A5C-4C83-9C75-41EAEE72A711}" name="Commentaire" dataDxfId="501"/>
    <tableColumn id="7" xr3:uid="{F40FCC8C-3E93-467B-89D2-FB53E82C6513}" name="Facteur d'émission (kgCO2e / k€)" dataDxfId="500">
      <calculatedColumnFormula>'3.2 Facteurs d''émission'!$G$89</calculatedColumnFormula>
    </tableColumn>
    <tableColumn id="13" xr3:uid="{1F8E8FA1-32C4-4287-B554-D968DAC3B04F}" name="Émissions totales (kgCO2e)" dataDxfId="499">
      <calculatedColumnFormula>Methodogie_des_couts_Logiciels_dans_le_cloud[[#This Row],[Coût (k€)]]*Methodogie_des_couts_Logiciels_dans_le_cloud[[#This Row],[Facteur d''émission (kgCO2e / k€)]]</calculatedColumnFormula>
    </tableColumn>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5F0D8ED-E84D-4824-88E0-4A35B21DE46E}" name="TM_Externes" displayName="TM_Externes" ref="B13:K18" totalsRowShown="0" dataDxfId="497" headerRowBorderDxfId="498" tableBorderDxfId="496" totalsRowBorderDxfId="495">
  <autoFilter ref="B13:K18" xr:uid="{E5F0D8ED-E84D-4824-88E0-4A35B21DE46E}"/>
  <tableColumns count="10">
    <tableColumn id="1" xr3:uid="{D7E1D389-BEE1-4EB3-9206-ADD2B6CCFD63}" name="ID du service" dataDxfId="494"/>
    <tableColumn id="7" xr3:uid="{BBC94400-479E-422A-88C2-F3906DFD8EAD}" name="Nom du service" dataDxfId="493"/>
    <tableColumn id="4" xr3:uid="{2872139E-5749-4374-B7CD-01CE927FB00F}" name="Description" dataDxfId="492"/>
    <tableColumn id="6" xr3:uid="{D814BCD9-00F7-462F-99E8-F03AC1B42BAD}" name="Prestataire de services" dataDxfId="491"/>
    <tableColumn id="2" xr3:uid="{C34069A0-1626-4605-A0E6-C8B592F7D0E3}" name="T&amp;M (en ETP)" dataDxfId="490"/>
    <tableColumn id="11" xr3:uid="{15419F19-52B8-42B2-8385-6902BC4870D0}" name="Prix fixe (en k€)" dataDxfId="489"/>
    <tableColumn id="3" xr3:uid="{65B5FEB7-31FD-49F6-92A0-B5C38DF0C3B2}" name="Commentaire" dataDxfId="488"/>
    <tableColumn id="9" xr3:uid="{C6D705A4-CD41-4DCC-AC14-432639CC9338}" name="Facteur d'émission de l'ETP (kgCO2e / unité)" dataDxfId="487">
      <calculatedColumnFormula>'3.2 Facteurs d''émission'!$G$97</calculatedColumnFormula>
    </tableColumn>
    <tableColumn id="10" xr3:uid="{E51CF1FA-41FA-4A3A-A66A-95AAFBA8DCFA}" name="Facteur d'émission des coûts (kgCO2e/k€)" dataDxfId="486">
      <calculatedColumnFormula>'3.2 Facteurs d''émission'!$G$96</calculatedColumnFormula>
    </tableColumn>
    <tableColumn id="8" xr3:uid="{9026007A-D7F3-45F5-B8E4-DD2139DEA05A}" name="Émissions totales (kgCO2e)" dataDxfId="485">
      <calculatedColumnFormula>TM_Externes[[#This Row],[T&amp;M (en ETP)]]*TM_Externes[[#This Row],[Facteur d''émission de l''ETP (kgCO2e / unité)]]+TM_Externes[[#This Row],[Prix fixe (en k€)]]*TM_Externes[[#This Row],[Facteur d''émission des coûts (kgCO2e/k€)]]</calculatedColumnFormula>
    </tableColumn>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41A5BDD-5011-41EF-B7A3-AD209EAAE4EA}" name="Prix_fixes_externes" displayName="Prix_fixes_externes" ref="B24:I29" totalsRowShown="0" dataDxfId="483" headerRowBorderDxfId="484" tableBorderDxfId="482" totalsRowBorderDxfId="481">
  <autoFilter ref="B24:I29" xr:uid="{641A5BDD-5011-41EF-B7A3-AD209EAAE4EA}"/>
  <tableColumns count="8">
    <tableColumn id="1" xr3:uid="{46154D1D-DECF-4526-A81D-2E3DC6FC4018}" name="ID du service" dataDxfId="480"/>
    <tableColumn id="7" xr3:uid="{08ABEA77-002A-4645-8742-3179ED65315F}" name="Nom du service" dataDxfId="479"/>
    <tableColumn id="4" xr3:uid="{CD950980-D19C-40D1-B09C-4626DE0E4D30}" name="Description" dataDxfId="478"/>
    <tableColumn id="6" xr3:uid="{4F5C2BA7-51E3-4C78-AF8D-79C4CB96F70E}" name="Prestataire de services" dataDxfId="477"/>
    <tableColumn id="3" xr3:uid="{23B24F25-BE15-418E-904A-0CC6DEFFB03A}" name="Prix fixe (en k€)" dataDxfId="476"/>
    <tableColumn id="11" xr3:uid="{31CB38B1-7532-41DB-A596-06BB24F380C5}" name="Commentaire" dataDxfId="475"/>
    <tableColumn id="10" xr3:uid="{B66C242C-98D5-41E1-835B-5C76D547123C}" name="Facteur d'émission des coûts (kgCO2e/k€)" dataDxfId="474">
      <calculatedColumnFormula>'3.2 Facteurs d''émission'!$G$96</calculatedColumnFormula>
    </tableColumn>
    <tableColumn id="9" xr3:uid="{E49800FC-30BB-4E1F-88B9-09D7687DD6E0}" name="Émissions totales (kgCO2e)" dataDxfId="473">
      <calculatedColumnFormula>Prix_fixes_externes[[#This Row],[Prix fixe (en k€)]]*Prix_fixes_externes[[#This Row],[Facteur d''émission des coûts (kgCO2e/k€)]]</calculatedColumnFormula>
    </tableColumn>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90AE1DFB-6516-40F1-8D96-C99E48AAD010}" name="Voyage" displayName="Voyage" ref="B13:G16" totalsRowShown="0" headerRowDxfId="472" dataDxfId="470" headerRowBorderDxfId="471" tableBorderDxfId="469" totalsRowBorderDxfId="468">
  <autoFilter ref="B13:G16" xr:uid="{E5F0D8ED-E84D-4824-88E0-4A35B21DE46E}"/>
  <tableColumns count="6">
    <tableColumn id="5" xr3:uid="{EBA3A4E6-AF77-4A63-A760-231C7B16EEDF}" name="Type de transport" dataDxfId="467"/>
    <tableColumn id="1" xr3:uid="{05FFAEE0-D343-4B0C-8550-8FE250A52C69}" name="Nombre de km" dataDxfId="466"/>
    <tableColumn id="7" xr3:uid="{ECA0226A-547F-4BB4-8D6D-22A2CD2DA931}" name="Commentaire" dataDxfId="465"/>
    <tableColumn id="2" xr3:uid="{325B6FD1-61F5-44CF-93A6-BE9F06DFC427}" name="Facteur d'émission" dataDxfId="464">
      <calculatedColumnFormula>'3.2 Facteurs d''émission'!$C$108</calculatedColumnFormula>
    </tableColumn>
    <tableColumn id="3" xr3:uid="{EE53CA9E-23A0-4486-9AEC-9CBFB52CE5EF}" name="Émissions (kgCO2e/km)" dataDxfId="463">
      <calculatedColumnFormula>VLOOKUP(Voyage[[#This Row],[Facteur d''émission]],Tableau36[[Nom]:[Émissions]],5,FALSE)</calculatedColumnFormula>
    </tableColumn>
    <tableColumn id="4" xr3:uid="{287DE4DB-72FE-423D-B2D5-37AB246038E1}" name="Émissions totales (kgC02e)" dataDxfId="462">
      <calculatedColumnFormula>Voyage[[#This Row],[Émissions (kgCO2e/km)]]*Voyage[[#This Row],[Nombre de km]]</calculatedColumnFormula>
    </tableColumn>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1A62796-E9A5-4277-9F9A-20EDC20D1CFA}" name="Serveurs_Non_Cyber" displayName="Serveurs_Non_Cyber" ref="B38:P48" totalsRowShown="0" headerRowDxfId="461" dataDxfId="459" headerRowBorderDxfId="460" tableBorderDxfId="458">
  <autoFilter ref="B38:P48" xr:uid="{3C125125-4736-4B64-A2A5-CE3BFE064F16}"/>
  <tableColumns count="15">
    <tableColumn id="1" xr3:uid="{776BB032-A789-496E-A7B3-CEE3917FBC2A}" name="ID du centre de données" dataDxfId="457"/>
    <tableColumn id="11" xr3:uid="{77D68352-1803-4C74-8AD3-3ED5A4F3C576}" name="Modèle de serveur" dataDxfId="456"/>
    <tableColumn id="10" xr3:uid="{A0B2B29B-B565-4D6A-BAEE-D7D9D791CE4A}" name="Type de serveur (PROD,TEST)" dataDxfId="455"/>
    <tableColumn id="4" xr3:uid="{93B4C343-02DD-43BB-9FDD-888CC06B01BA}" name="Durée de vie du serveur" dataDxfId="454"/>
    <tableColumn id="2" xr3:uid="{D4BF83E9-026C-438D-AA47-6D968D53D170}" name="Emplacement du serveur " dataDxfId="453"/>
    <tableColumn id="3" xr3:uid="{2DE43A05-72F6-4755-AA56-92D7181EE137}" name="PUE" dataDxfId="452"/>
    <tableColumn id="15" xr3:uid="{C1732735-9CC8-4B14-94F6-656D5191E66E}" name="Serveurs physiques (unité)" dataDxfId="451"/>
    <tableColumn id="6" xr3:uid="{48C960C1-E8DF-4D38-BBC1-41AF35289D49}" name="CPU physique (unité)" dataDxfId="450"/>
    <tableColumn id="7" xr3:uid="{A7ECB95D-09E8-4955-B640-700D06265CF1}" name="RAM (GB)" dataDxfId="449"/>
    <tableColumn id="5" xr3:uid="{1E7F3A42-BCF2-42E7-B7D7-3AC4D62479D1}" name="Commentaire" dataDxfId="448"/>
    <tableColumn id="8" xr3:uid="{18E83396-176F-4757-B85B-4CF0F17CD8E8}" name="Mix électrique (kgCO2e / kWh)" dataDxfId="447">
      <calculatedColumnFormula>IFERROR(VLOOKUP(Serveurs_Non_Cyber[[#This Row],[Emplacement du serveur ]],Mix_électrique[],2,FALSE),0)</calculatedColumnFormula>
    </tableColumn>
    <tableColumn id="9" xr3:uid="{4C97FE2D-EFE4-42CA-9917-F1FC964EAA4F}" name="Consommation électrique (kWh)" dataDxfId="446">
      <calculatedColumnFormula>Serveurs_Non_Cyber[[#This Row],[CPU physique (unité)]]*'3.2 Facteurs d''émission'!$M$53*Serveurs_Non_Cyber[[#This Row],[PUE]]</calculatedColumnFormula>
    </tableColumn>
    <tableColumn id="14" xr3:uid="{498A2E38-E6B1-41BA-9DE5-8C807D423F42}" name="Champ d'application 2 (kgCO2e)" dataDxfId="445">
      <calculatedColumnFormula>Serveurs_Non_Cyber[[#This Row],[Consommation électrique (kWh)]]*Serveurs_Non_Cyber[[#This Row],[Mix électrique (kgCO2e / kWh)]]</calculatedColumnFormula>
    </tableColumn>
    <tableColumn id="13" xr3:uid="{884A2628-55DA-4AE0-BE54-D66C0B36E940}" name="Champ d'application 3 (kgCO2e)" dataDxfId="444">
      <calculatedColumnFormula>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calculatedColumnFormula>
    </tableColumn>
    <tableColumn id="12" xr3:uid="{8354C48D-EF0D-4140-BAAE-8121DC518CDF}" name="Émissions totales (kgCO2e)" dataDxfId="443">
      <calculatedColumnFormula>Serveurs_Non_Cyber[[#This Row],[Champ d''application 2 (kgCO2e)]]+Serveurs_Non_Cyber[[#This Row],[Champ d''application 3 (kgCO2e)]]</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E157BEE-C8E7-42F6-85F5-A4818D8FCC2A}" name="Contrôle_de_référence_NIST" displayName="Contrôle_de_référence_NIST" ref="A19:C89" totalsRowShown="0" headerRowDxfId="708" dataDxfId="706" headerRowBorderDxfId="707" tableBorderDxfId="705" totalsRowBorderDxfId="704">
  <autoFilter ref="A19:C89" xr:uid="{3E157BEE-C8E7-42F6-85F5-A4818D8FCC2A}"/>
  <tableColumns count="3">
    <tableColumn id="1" xr3:uid="{69D57010-3A77-49AE-8ED8-A50A06298B76}" name="Contrôle NIST" dataDxfId="703"/>
    <tableColumn id="2" xr3:uid="{2D3C1FF6-8D08-47D8-AA37-ECDC47C627E7}" name="Sujet du NIST" dataDxfId="702"/>
    <tableColumn id="3" xr3:uid="{8E01ACC7-C627-4D1E-A3AC-629931F5496B}" name="Exigence simplifiée" dataDxfId="701"/>
  </tableColumns>
  <tableStyleInfo name="TableStyleLight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F9A4EAA-BAD4-4715-9127-31C87A374CFC}" name="Poste_de_travail_non_cyber_ordinateur_portable" displayName="Poste_de_travail_non_cyber_ordinateur_portable" ref="B14:K17" totalsRowShown="0" headerRowDxfId="442" dataDxfId="440" headerRowBorderDxfId="441" tableBorderDxfId="439">
  <autoFilter ref="B14:K17" xr:uid="{EF9A4EAA-BAD4-4715-9127-31C87A374CFC}"/>
  <tableColumns count="10">
    <tableColumn id="3" xr3:uid="{62EC81EA-5C17-469E-AA3B-037D6455AEC9}" name="Champ d'application" dataDxfId="438"/>
    <tableColumn id="4" xr3:uid="{CF8D6B6F-D25C-424F-8B5D-FA2B25AE365F}" name="Quantité " dataDxfId="437"/>
    <tableColumn id="5" xr3:uid="{51645C85-E3C7-4ADC-B502-15C52B084E2A}" name="Durée de vie" dataDxfId="436"/>
    <tableColumn id="2" xr3:uid="{E9807D5C-0AF4-4F9B-96E8-9493681607EB}" name="Mix électrique (kgCO2e/kWh)" dataDxfId="435"/>
    <tableColumn id="8" xr3:uid="{530CDCC7-8FF5-43ED-8FEF-CD9B36539322}" name="Facteur d'émission" dataDxfId="434">
      <calculatedColumnFormula>'3.2 Facteurs d''émission'!$C$8</calculatedColumnFormula>
    </tableColumn>
    <tableColumn id="14" xr3:uid="{503F137A-136F-4A67-B738-6C8951D00AE8}" name="Consommation électrique (kWh/an/unité)" dataDxfId="433">
      <calculatedColumnFormula>VLOOKUP(Poste_de_travail_non_cyber_ordinateur_portable[[#This Row],[Facteur d''émission]],Tableau3[[Nom]:[Consommation (kWh/an)]],6,FALSE)</calculatedColumnFormula>
    </tableColumn>
    <tableColumn id="15" xr3:uid="{4B3D9F9D-CA1D-42AF-BFCD-9AE5220D0732}" name="Fabrication (kgCO2e/unité)" dataDxfId="432">
      <calculatedColumnFormula>VLOOKUP(Poste_de_travail_non_cyber_ordinateur_portable[[#This Row],[Facteur d''émission]],Tableau3[[Nom]:[Consommation (kWh/an)]],5,FALSE)</calculatedColumnFormula>
    </tableColumn>
    <tableColumn id="9" xr3:uid="{B75AEB2D-B17F-4458-8C3A-5C009CA8753C}" name="Champ d'application 2 (kgC02e)" dataDxfId="431">
      <calculatedColumnFormula>Poste_de_travail_non_cyber_ordinateur_portable[[#This Row],[Consommation électrique (kWh/an/unité)]]*Poste_de_travail_non_cyber_ordinateur_portable[[#This Row],[Mix électrique (kgCO2e/kWh)]]*Poste_de_travail_non_cyber_ordinateur_portable[[#This Row],[Quantité ]]</calculatedColumnFormula>
    </tableColumn>
    <tableColumn id="10" xr3:uid="{072B1BE2-A8DE-4642-8178-FB31709AB55B}" name="Champ d'application 3 (kgC02e)" dataDxfId="430">
      <calculatedColumnFormula>Poste_de_travail_non_cyber_ordinateur_portable[[#This Row],[Fabrication (kgCO2e/unité)]]*Poste_de_travail_non_cyber_ordinateur_portable[[#This Row],[Quantité ]]/Poste_de_travail_non_cyber_ordinateur_portable[[#This Row],[Durée de vie]]</calculatedColumnFormula>
    </tableColumn>
    <tableColumn id="11" xr3:uid="{5609A9BC-A4B5-4378-B5E8-857417CC8459}" name="Émissions totales (kgC02e)" dataDxfId="429">
      <calculatedColumnFormula>Poste_de_travail_non_cyber_ordinateur_portable[[#This Row],[Champ d''application 2 (kgC02e)]]+Poste_de_travail_non_cyber_ordinateur_portable[[#This Row],[Champ d''application 3 (kgC02e)]]</calculatedColumnFormula>
    </tableColumn>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60B6C54-6BD7-4A48-8377-D922CF1A8BD8}" name="Groupe_non_cyber_VDI45" displayName="Groupe_non_cyber_VDI45" ref="B30:J32" totalsRowShown="0" headerRowDxfId="428" dataDxfId="426" headerRowBorderDxfId="427" tableBorderDxfId="425">
  <autoFilter ref="B30:J32" xr:uid="{F60B6C54-6BD7-4A48-8377-D922CF1A8BD8}"/>
  <tableColumns count="9">
    <tableColumn id="3" xr3:uid="{4D517F1F-9CBC-442D-9C68-A48D2288C250}" name="Champ d'application" dataDxfId="424"/>
    <tableColumn id="4" xr3:uid="{E11C2F26-20A6-4848-9517-E03DA8214ACD}" name="Quantité " dataDxfId="423"/>
    <tableColumn id="2" xr3:uid="{04419803-29D7-413B-BBC9-64B4E7E40B9B}" name="Mix électrique (kgCO2e/kWh)" dataDxfId="422">
      <calculatedColumnFormula>Intensité_Carbone_Personnel_du_groupe</calculatedColumnFormula>
    </tableColumn>
    <tableColumn id="8" xr3:uid="{7454C0ED-9B09-45E7-B25D-C595AEAEDDB3}" name="Facteur d'émission" dataDxfId="421">
      <calculatedColumnFormula>'3.2 Facteurs d''émission'!$C$14</calculatedColumnFormula>
    </tableColumn>
    <tableColumn id="9" xr3:uid="{E69ABF17-71D9-4641-A2DD-F1EF7829D95A}" name="Consommation électrique (kWh/an/unité)" dataDxfId="420">
      <calculatedColumnFormula>VLOOKUP(Groupe_non_cyber_VDI45[[#This Row],[Facteur d''émission]],Tableau13[[Nom]:[Consommation (kWh/an)]],6,FALSE)</calculatedColumnFormula>
    </tableColumn>
    <tableColumn id="10" xr3:uid="{F66AA9F1-8D98-442B-958C-4DFEFC97743D}" name="Fabrication (kgCO2e/unité)" dataDxfId="419">
      <calculatedColumnFormula>VLOOKUP(Groupe_non_cyber_VDI45[[#This Row],[Facteur d''émission]],Tableau13[[Nom]:[Consommation (kWh/an)]],5,FALSE)</calculatedColumnFormula>
    </tableColumn>
    <tableColumn id="11" xr3:uid="{C7F2E8D2-9744-44FA-8754-620C63179A4A}" name="Champ d'application 2 (kgC02e)" dataDxfId="418">
      <calculatedColumnFormula>Groupe_non_cyber_VDI45[[#This Row],[Consommation électrique (kWh/an/unité)]]*Groupe_non_cyber_VDI45[[#This Row],[Mix électrique (kgCO2e/kWh)]]*Groupe_non_cyber_VDI45[[#This Row],[Quantité ]]</calculatedColumnFormula>
    </tableColumn>
    <tableColumn id="13" xr3:uid="{172034E0-69DF-4421-B69D-D4014E19FAE8}" name="Champ d'application 3 (kgC02e)" dataDxfId="417">
      <calculatedColumnFormula>Groupe_non_cyber_VDI45[[#This Row],[Fabrication (kgCO2e/unité)]]*Groupe_non_cyber_VDI45[[#This Row],[Quantité ]]</calculatedColumnFormula>
    </tableColumn>
    <tableColumn id="14" xr3:uid="{8B6A5E11-F239-4CCC-A3FD-6E2C4583A9F3}" name="Émissions totales (kgC02e)" dataDxfId="416">
      <calculatedColumnFormula>Groupe_non_cyber_VDI45[[#This Row],[Champ d''application 2 (kgC02e)]]+Groupe_non_cyber_VDI45[[#This Row],[Champ d''application 3 (kgC02e)]]</calculatedColumnFormula>
    </tableColumn>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9808B1E-2049-4CF7-8F98-984CE2999038}" name="Poste_de_travail_non_cyber_ordinateur_de_bureau" displayName="Poste_de_travail_non_cyber_ordinateur_de_bureau" ref="B21:K24" totalsRowShown="0" headerRowDxfId="415" dataDxfId="413" headerRowBorderDxfId="414" tableBorderDxfId="412">
  <autoFilter ref="B21:K24" xr:uid="{19808B1E-2049-4CF7-8F98-984CE2999038}"/>
  <tableColumns count="10">
    <tableColumn id="3" xr3:uid="{ED408BF7-8265-4E1D-A41A-F6723DCED916}" name="Champ d'application" dataDxfId="411"/>
    <tableColumn id="4" xr3:uid="{9F07C156-A60A-4318-8DD0-F35081BE4128}" name="Quantité " dataDxfId="410"/>
    <tableColumn id="5" xr3:uid="{40AE2E2E-B229-4100-82C4-F346DD030509}" name="Durée de vie" dataDxfId="409"/>
    <tableColumn id="2" xr3:uid="{CA783368-7ECA-46DA-878E-C40568CA0C3E}" name="Mix électrique (kgCO2e/kWh)" dataDxfId="408"/>
    <tableColumn id="8" xr3:uid="{68E25DC5-5F8A-4D95-9D79-D88A99AC09F4}" name="Facteur d'émission" dataDxfId="407">
      <calculatedColumnFormula>'3.2 Facteurs d''émission'!$C$9</calculatedColumnFormula>
    </tableColumn>
    <tableColumn id="14" xr3:uid="{6110E54E-971E-42D7-A7A1-F2095B0504B3}" name="Consommation électrique (kWh/an/unité)" dataDxfId="406">
      <calculatedColumnFormula>VLOOKUP(Poste_de_travail_non_cyber_ordinateur_de_bureau[[#This Row],[Facteur d''émission]],Tableau3[[Nom]:[Consommation (kWh/an)]],6,FALSE)</calculatedColumnFormula>
    </tableColumn>
    <tableColumn id="15" xr3:uid="{A625EFBA-8FE9-4A5D-8314-EEAC2E01CA37}" name="Fabrication (kgCO2e/unité)" dataDxfId="405">
      <calculatedColumnFormula>VLOOKUP(Poste_de_travail_non_cyber_ordinateur_de_bureau[[#This Row],[Facteur d''émission]],Tableau3[[Nom]:[Consommation (kWh/an)]],5,FALSE)</calculatedColumnFormula>
    </tableColumn>
    <tableColumn id="9" xr3:uid="{D221C1F9-1C7F-4849-B69E-8341E06548FA}" name="Champ d'application 2 (kgC02e)" dataDxfId="404">
      <calculatedColumnFormula>Poste_de_travail_non_cyber_ordinateur_de_bureau[[#This Row],[Consommation électrique (kWh/an/unité)]]*Poste_de_travail_non_cyber_ordinateur_de_bureau[[#This Row],[Mix électrique (kgCO2e/kWh)]]*Poste_de_travail_non_cyber_ordinateur_de_bureau[[#This Row],[Quantité ]]</calculatedColumnFormula>
    </tableColumn>
    <tableColumn id="10" xr3:uid="{C9C34CE5-3FD8-437A-AF77-EF1A93349EFF}" name="Champ d'application 3 (kgC02e)" dataDxfId="403">
      <calculatedColumnFormula>Poste_de_travail_non_cyber_ordinateur_de_bureau[[#This Row],[Fabrication (kgCO2e/unité)]]*Poste_de_travail_non_cyber_ordinateur_de_bureau[[#This Row],[Quantité ]]/Poste_de_travail_non_cyber_ordinateur_de_bureau[[#This Row],[Durée de vie]]</calculatedColumnFormula>
    </tableColumn>
    <tableColumn id="11" xr3:uid="{14EF4B47-7627-4391-A708-89910C4898E5}" name="Émissions totales (kgC02e)" dataDxfId="402">
      <calculatedColumnFormula>Poste_de_travail_non_cyber_ordinateur_de_bureau[[#This Row],[Champ d''application 2 (kgC02e)]]+Poste_de_travail_non_cyber_ordinateur_de_bureau[[#This Row],[Champ d''application 3 (kgC02e)]]</calculatedColumnFormula>
    </tableColumn>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4D02767-7839-4657-9D21-6124BE380825}" name="Cartographie_des_appareils_poste_de_travail_ordinateur_portable" displayName="Cartographie_des_appareils_poste_de_travail_ordinateur_portable" ref="B33:I36" totalsRowShown="0" headerRowDxfId="401" headerRowBorderDxfId="400" tableBorderDxfId="399">
  <autoFilter ref="B33:I36" xr:uid="{D38FD372-162A-4006-ADDF-9863B233DC4E}"/>
  <tableColumns count="8">
    <tableColumn id="3" xr3:uid="{C7A54E68-49AF-4F16-8DD4-C86B3E817022}" name="Champ d'application" dataDxfId="398"/>
    <tableColumn id="4" xr3:uid="{96D7FD72-663D-4642-A8EF-BBEF7DB781DB}" name="Référentiel interne" dataDxfId="397"/>
    <tableColumn id="5" xr3:uid="{ADB600F6-E76E-4790-8499-7B1D6106F01B}" name="Contrôle NIST" dataDxfId="396"/>
    <tableColumn id="14" xr3:uid="{B1CF2F9B-9244-4272-8012-BE4E33583B06}" name="Sujet du NIST" dataDxfId="395">
      <calculatedColumnFormula>_xlfn.XLOOKUP(Cartographie_des_appareils_poste_de_travail_ordinateur_portable[[#This Row],[Contrôle NIST]],Contrôle_de_référence_NIST[Contrôle NIST],Contrôle_de_référence_NIST[Sujet du NIST])</calculatedColumnFormula>
    </tableColumn>
    <tableColumn id="2" xr3:uid="{1BAFC041-E27B-4F4C-AB14-94392ED2BB66}" name="% Dédié au cyber" dataDxfId="394"/>
    <tableColumn id="9" xr3:uid="{BB71035D-A5F4-42DD-B2C8-4D2EBFA4D1EF}" name="Champ d'application 2 (kgC02e)" dataDxfId="393"/>
    <tableColumn id="10" xr3:uid="{CF949647-B801-4846-8754-9F1652FF7094}" name="Champ d'application 3 (kgC02e)" dataDxfId="392"/>
    <tableColumn id="11" xr3:uid="{03444D86-B8F8-4E22-A151-0F84F8B415AE}" name="Émissions totales (kgC02e)" dataDxfId="391">
      <calculatedColumnFormula>Cartographie_des_appareils_poste_de_travail_ordinateur_portable[[#This Row],[Champ d''application 2 (kgC02e)]]+Cartographie_des_appareils_poste_de_travail_ordinateur_portable[[#This Row],[Champ d''application 3 (kgC02e)]]</calculatedColumnFormula>
    </tableColumn>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9AF50B0-17D3-44AA-B3F0-345884204AFF}" name="Cartographie_des_appareils_écrans" displayName="Cartographie_des_appareils_écrans" ref="B47:H48" totalsRowShown="0" headerRowDxfId="390" headerRowBorderDxfId="389" tableBorderDxfId="388">
  <autoFilter ref="B47:H48" xr:uid="{DD056E13-1E48-45A4-9BDC-9ABC39D23DC6}"/>
  <tableColumns count="7">
    <tableColumn id="3" xr3:uid="{D1C4DAAE-DE8D-448A-BD21-4A3170F18793}" name="Champ d'application" dataDxfId="387"/>
    <tableColumn id="4" xr3:uid="{475D23F2-5869-421D-BC1C-957AAD7C2ABB}" name="Référentiel interne" dataDxfId="386"/>
    <tableColumn id="5" xr3:uid="{2C18473E-8064-4726-877A-2C920EFEE584}" name="Contrôle NIST" dataDxfId="385"/>
    <tableColumn id="13" xr3:uid="{AC73B6F8-A35B-4C2F-AC40-AD93E8B55623}" name="Sujet du NIST" dataDxfId="384">
      <calculatedColumnFormula>_xlfn.XLOOKUP(Cartographie_des_appareils_écrans[[#This Row],[Contrôle NIST]],Contrôle_de_référence_NIST[Contrôle NIST],Contrôle_de_référence_NIST[Sujet du NIST])</calculatedColumnFormula>
    </tableColumn>
    <tableColumn id="9" xr3:uid="{B98E2BCD-4D24-4F0E-86C5-0246BCA7F200}" name="Champ d'application 2 (kgC02e)" dataDxfId="383">
      <calculatedColumnFormula array="1">Appareils_Ecrans[Champ d''application 2 (kgC02e)]</calculatedColumnFormula>
    </tableColumn>
    <tableColumn id="10" xr3:uid="{A77E3D95-E08A-4585-A209-59B1B2DE41D3}" name="Champ d'application 3 (kgC02e)" dataDxfId="382">
      <calculatedColumnFormula array="1">Appareils_Ecrans[Champ d''application 3 (kgC02e)]</calculatedColumnFormula>
    </tableColumn>
    <tableColumn id="11" xr3:uid="{B9D70079-573B-4C34-9AEC-FF5EBC6C2491}" name="Émissions totales (kgC02e)" dataDxfId="381">
      <calculatedColumnFormula array="1">Appareils_Ecrans[Émissions totales (kgC02e)]</calculatedColumnFormula>
    </tableColumn>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2441EB8B-179E-4444-9D7D-41E03EA9A3BD}" name="Cartographie_des_appareils_Smartphones" displayName="Cartographie_des_appareils_Smartphones" ref="B52:H53" totalsRowShown="0" headerRowDxfId="380" headerRowBorderDxfId="379" tableBorderDxfId="378">
  <autoFilter ref="B52:H53" xr:uid="{3E4896F4-F1C7-449C-A474-76EF4CFC47B5}"/>
  <tableColumns count="7">
    <tableColumn id="3" xr3:uid="{47EF0700-BB05-425D-9D70-05A713E1C3EB}" name="Champ d'application" dataDxfId="377"/>
    <tableColumn id="4" xr3:uid="{E93C2816-B3B2-47E0-8FC0-B6A78F3FB11A}" name="Référentiel interne" dataDxfId="376"/>
    <tableColumn id="5" xr3:uid="{57FFD1EE-9537-4B56-9D52-52439DC5060C}" name="Contrôle NIST" dataDxfId="375"/>
    <tableColumn id="13" xr3:uid="{21557D7C-B9D9-403C-85B2-12973DD620F0}" name="Sujet du NIST" dataDxfId="374">
      <calculatedColumnFormula>_xlfn.XLOOKUP(Cartographie_des_appareils_Smartphones[[#This Row],[Contrôle NIST]],Contrôle_de_référence_NIST[Contrôle NIST],Contrôle_de_référence_NIST[Sujet du NIST])</calculatedColumnFormula>
    </tableColumn>
    <tableColumn id="9" xr3:uid="{01555C4C-C8AE-4C8F-8BE1-ED29DB8F8FF2}" name="Champ d'application 2 (kgC02e)" dataDxfId="373">
      <calculatedColumnFormula array="1">Appareils_Smartphones[Champ d''application 2 (kgC02e)]</calculatedColumnFormula>
    </tableColumn>
    <tableColumn id="10" xr3:uid="{82F3AAC4-86BA-402B-9934-7AB8B094ABD7}" name="Champ d'application 3 (kgC02e)" dataDxfId="372">
      <calculatedColumnFormula array="1">Appareils_Smartphones[Champ d''application 3 (kgC02e)]</calculatedColumnFormula>
    </tableColumn>
    <tableColumn id="11" xr3:uid="{0C92F7F0-EFE8-42FF-9009-7E98BDC79AF4}" name="Émissions totales (kgC02e)" dataDxfId="371">
      <calculatedColumnFormula array="1">Appareils_Smartphones[Émissions totales (kgC02e)]</calculatedColumnFormula>
    </tableColumn>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483EE77C-FECB-46D0-A910-481B00ED8A3A}" name="Cartographie_des_résultats_des_appareils_par_sujet" displayName="Cartographie_des_résultats_des_appareils_par_sujet" ref="B15:G30" totalsRowCount="1" headerRowDxfId="370" dataDxfId="369">
  <autoFilter ref="B15:G29" xr:uid="{483EE77C-FECB-46D0-A910-481B00ED8A3A}"/>
  <tableColumns count="6">
    <tableColumn id="1" xr3:uid="{ECEADE90-F948-4785-82B7-C2CC570A6594}" name="Sujet" totalsRowLabel="Total"/>
    <tableColumn id="2" xr3:uid="{0C854159-F15C-4B01-B6EF-E100D2BBAE6D}" name="Émissions totales Dispositifs (kgCO2e)" totalsRowFunction="sum" dataDxfId="368" totalsRowDxfId="367">
      <calculatedColumnFormula>SUM(Cartographie_des_résultats_des_appareils_par_sujet[[#This Row],[Poste de travail - Ordinateur portable]:[Smartphones]])</calculatedColumnFormula>
    </tableColumn>
    <tableColumn id="3" xr3:uid="{5C6729C6-77A6-4243-8591-0164088DF22B}" name="Poste de travail - Ordinateur portable" totalsRowFunction="sum" dataDxfId="366" totalsRowDxfId="365">
      <calculatedColumnFormula>SUMIF(Cartographie_des_appareils_poste_de_travail_ordinateur_portable[Sujet du NIST],Cartographie_des_résultats_des_appareils_par_sujet[[#This Row],[Sujet]],Cartographie_des_appareils_poste_de_travail_ordinateur_portable[Émissions totales (kgC02e)])</calculatedColumnFormula>
    </tableColumn>
    <tableColumn id="7" xr3:uid="{5FB2B9E4-1E5C-487F-8124-588411675A9A}" name="Poste de travail - Ordinateur de bureau" totalsRowFunction="sum" dataDxfId="364" totalsRowDxfId="363">
      <calculatedColumnFormula>SUMIF(Cartographie_des_appareils_poste_de_travail_ordinateur_de_bureau[Sujet du NIST],Cartographie_des_résultats_des_appareils_par_sujet[[#This Row],[Sujet]],Cartographie_des_appareils_poste_de_travail_ordinateur_de_bureau[Émissions totales (kgC02e)])</calculatedColumnFormula>
    </tableColumn>
    <tableColumn id="5" xr3:uid="{2736DB18-AF10-4BA9-87E0-94C1BC63356F}" name="Écrans" totalsRowFunction="sum" dataDxfId="362" totalsRowDxfId="361">
      <calculatedColumnFormula>SUMIF(Cartographie_des_appareils_écrans[Sujet du NIST],Cartographie_des_résultats_des_appareils_par_sujet[[#This Row],[Sujet]],Cartographie_des_appareils_écrans[Émissions totales (kgC02e)])</calculatedColumnFormula>
    </tableColumn>
    <tableColumn id="6" xr3:uid="{7EE80249-1108-4677-B113-FE62BD08A90E}" name="Smartphones" totalsRowFunction="sum" dataDxfId="360" totalsRowDxfId="359">
      <calculatedColumnFormula>SUMIF(Cartographie_des_appareils_Smartphones[Sujet du NIST],Cartographie_des_résultats_des_appareils_par_sujet[[#This Row],[Sujet]],Cartographie_des_appareils_Smartphones[Émissions totales (kgC02e)])</calculatedColumnFormula>
    </tableColumn>
  </tableColumns>
  <tableStyleInfo name="TableStyleLight8" showFirstColumn="1"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39D8349-E1C0-47B0-8F33-2F08BA7139D9}" name="Cartographie_des_appareils_poste_de_travail_ordinateur_de_bureau" displayName="Cartographie_des_appareils_poste_de_travail_ordinateur_de_bureau" ref="B40:I43" totalsRowShown="0" headerRowDxfId="358" headerRowBorderDxfId="357" tableBorderDxfId="356">
  <autoFilter ref="B40:I43" xr:uid="{C39D8349-E1C0-47B0-8F33-2F08BA7139D9}"/>
  <tableColumns count="8">
    <tableColumn id="3" xr3:uid="{7456364F-669A-4188-9DBA-2CE2DFEF1228}" name="Champ d'application" dataDxfId="355"/>
    <tableColumn id="4" xr3:uid="{D885BC14-8CF9-42A0-83D3-B8FA412F89A3}" name="Référentiel interne" dataDxfId="354"/>
    <tableColumn id="5" xr3:uid="{0A361833-3D23-4EC8-A442-684F46349697}" name="Contrôle NIST" dataDxfId="353"/>
    <tableColumn id="14" xr3:uid="{EEAB8B6E-2D86-47AE-9119-D15050478377}" name="Sujet du NIST" dataDxfId="352">
      <calculatedColumnFormula>_xlfn.XLOOKUP(Cartographie_des_appareils_poste_de_travail_ordinateur_de_bureau[[#This Row],[Contrôle NIST]],Contrôle_de_référence_NIST[Contrôle NIST],Contrôle_de_référence_NIST[Sujet du NIST])</calculatedColumnFormula>
    </tableColumn>
    <tableColumn id="2" xr3:uid="{EA8A72C1-EC32-41C9-A1A6-38AA266197B2}" name="% Dédié au cyber" dataDxfId="351"/>
    <tableColumn id="9" xr3:uid="{CFA17086-27C5-41CD-967F-BA08D0A1659C}" name="Champ d'application 2 (kgC02e)" dataDxfId="350"/>
    <tableColumn id="10" xr3:uid="{9871F26D-72C9-4AB7-B2E2-79EDEE3E48E6}" name="Champ d'application 3 (kgC02e)" dataDxfId="349"/>
    <tableColumn id="11" xr3:uid="{56D2FD4F-2AD2-45E5-B55D-A7503BD876E0}" name="Émissions totales (kgC02e)" dataDxfId="348">
      <calculatedColumnFormula>Cartographie_des_appareils_poste_de_travail_ordinateur_de_bureau[[#This Row],[Champ d''application 2 (kgC02e)]]+Cartographie_des_appareils_poste_de_travail_ordinateur_de_bureau[[#This Row],[Champ d''application 3 (kgC02e)]]</calculatedColumnFormula>
    </tableColumn>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1688FE3-244D-4DB2-80E4-BE4D9DB37F32}" name="Cartographie_des_appareils" displayName="Cartographie_des_appareils" ref="B33:H36" totalsRowShown="0" headerRowDxfId="347" headerRowBorderDxfId="346" tableBorderDxfId="345">
  <autoFilter ref="B33:H36" xr:uid="{D38FD372-162A-4006-ADDF-9863B233DC4E}"/>
  <tableColumns count="7">
    <tableColumn id="3" xr3:uid="{6F9B2810-3549-4663-8E4E-D42535C07C3B}" name="Champ d'application" dataDxfId="344"/>
    <tableColumn id="4" xr3:uid="{55520CF4-9DE6-4857-8CFD-BAB8C6AA631C}" name="Référentiel interne" dataDxfId="343"/>
    <tableColumn id="5" xr3:uid="{572AF491-E9F9-4994-9044-91BBE6CAFC07}" name="Contrôle NIST" dataDxfId="342"/>
    <tableColumn id="14" xr3:uid="{01128199-CB80-4F17-8CF9-9286FC88E94C}" name="Sujet du NIST" dataDxfId="341">
      <calculatedColumnFormula>_xlfn.XLOOKUP(Cartographie_des_appareils[[#This Row],[Contrôle NIST]],Contrôle_de_référence_NIST[Contrôle NIST],Contrôle_de_référence_NIST[Sujet du NIST])</calculatedColumnFormula>
    </tableColumn>
    <tableColumn id="8" xr3:uid="{B7837384-D396-45E5-A25A-2761FEED3689}" name="Champ d'application 2 (kgC02e)" dataDxfId="340">
      <calculatedColumnFormula>SUM(Proxy_Reseau[Champ d''application 2 (kgC02e)])</calculatedColumnFormula>
    </tableColumn>
    <tableColumn id="9" xr3:uid="{67DAA79E-19E5-4A56-A801-69F1F417A6A8}" name="Champ d'application 3 (kgC02e)" dataDxfId="339">
      <calculatedColumnFormula>'1.4 Réseau'!L15</calculatedColumnFormula>
    </tableColumn>
    <tableColumn id="10" xr3:uid="{77C05243-EDD8-469D-8172-F218AF65E680}" name="Émissions totales (kgC02e)" dataDxfId="338">
      <calculatedColumnFormula>'1.4 Réseau'!M15</calculatedColumnFormula>
    </tableColumn>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C8C15D-DABF-4841-8EF3-36217CB3EC94}" name="Cartographie_des_résultats_du_réseau_par_sujet" displayName="Cartographie_des_résultats_du_réseau_par_sujet" ref="B15:C30" totalsRowCount="1" headerRowDxfId="337" dataDxfId="336" tableBorderDxfId="335">
  <autoFilter ref="B15:C29" xr:uid="{6DC8C15D-DABF-4841-8EF3-36217CB3EC94}"/>
  <tableColumns count="2">
    <tableColumn id="1" xr3:uid="{03B570F7-0A83-4393-8D95-44E0753F2178}" name="Sujet" totalsRowLabel="Total" dataDxfId="334" totalsRowDxfId="333"/>
    <tableColumn id="2" xr3:uid="{A2E5D053-8764-4817-B45B-320933A8396B}" name="Émissions des appareils (kgCO2e)" totalsRowFunction="sum" dataDxfId="332" totalsRowDxfId="331">
      <calculatedColumnFormula>SUMIF(Cartographie_des_appareils[Sujet du NIST],Cartographie_des_résultats_du_réseau_par_sujet[[#This Row],[Sujet]],Cartographie_des_appareils[Émissions totales (kgC02e)])</calculatedColumnFormula>
    </tableColumn>
  </tableColumns>
  <tableStyleInfo name="TableStyleLight8"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DB2B574-A6B4-4B69-A6B1-DC8E2B760EB6}" name="Emplacement_du_personnel_Global" displayName="Emplacement_du_personnel_Global" ref="B17:D20" totalsRowShown="0" headerRowDxfId="700" dataDxfId="698" headerRowBorderDxfId="699" tableBorderDxfId="697" totalsRowBorderDxfId="696">
  <autoFilter ref="B17:D20" xr:uid="{8DB2B574-A6B4-4B69-A6B1-DC8E2B760EB6}"/>
  <tableColumns count="3">
    <tableColumn id="1" xr3:uid="{E3596E54-AC49-4A28-B86B-CEC182987E35}" name="Pays" dataDxfId="695"/>
    <tableColumn id="2" xr3:uid="{03DE69C9-A943-4BF3-B848-F3A4D4965781}" name="% ou nombre d'internes dans ce pays" dataDxfId="694"/>
    <tableColumn id="3" xr3:uid="{E0AE74BC-423B-4CA3-A54E-4FDE6F6C3D9C}" name="Intensité carbone du mix électrique par zone géographique (kgCO2e/kWh)" dataDxfId="693">
      <calculatedColumnFormula>IFERROR(VLOOKUP(Emplacement_du_personnel_Global[[#This Row],[Pays]],Mix_électrique[],2,FALSE),0)</calculatedColumnFormula>
    </tableColumn>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1597220F-C221-442B-953C-40559A850AA6}" name="Cartographie_des_serveurs_de_sauvegarde" displayName="Cartographie_des_serveurs_de_sauvegarde" ref="B41:H43" totalsRowShown="0" headerRowDxfId="330" headerRowBorderDxfId="329" tableBorderDxfId="328">
  <autoFilter ref="B41:H43" xr:uid="{1597220F-C221-442B-953C-40559A850AA6}"/>
  <tableColumns count="7">
    <tableColumn id="3" xr3:uid="{AEDD57AA-119B-4418-A685-A1F5678DED7E}" name="Champ d'application" dataDxfId="327"/>
    <tableColumn id="4" xr3:uid="{483E28DA-33BC-43DD-AE48-6F1186BB3A2E}" name="Référentiel interne" dataDxfId="326"/>
    <tableColumn id="5" xr3:uid="{E48B0FB8-E4E9-47AE-BA7E-E729B1619E7B}" name="Contrôle NIST" dataDxfId="325"/>
    <tableColumn id="15" xr3:uid="{A106E2BE-A66A-41CA-A159-B1FF3BFDBD93}" name="Sujet du NIST" dataDxfId="324">
      <calculatedColumnFormula>_xlfn.XLOOKUP(Cartographie_des_serveurs_de_sauvegarde[[#This Row],[Contrôle NIST]],Contrôle_de_référence_NIST[Contrôle NIST],Contrôle_de_référence_NIST[Sujet du NIST])</calculatedColumnFormula>
    </tableColumn>
    <tableColumn id="9" xr3:uid="{8038D9CB-58D2-4B97-9A18-B2BFEF5E5700}" name="Champ d'application 2 (kgC02e)" dataDxfId="323">
      <calculatedColumnFormula>SUMIF(Serveurs_de_sauvegarde[Catégorie Cyber],Cartographie_des_serveurs_de_sauvegarde[[#This Row],[Champ d''application]],Serveurs_de_sauvegarde[Champ d''application 2 (kgCO2e)])</calculatedColumnFormula>
    </tableColumn>
    <tableColumn id="10" xr3:uid="{7DF71EB2-89C4-491C-BE63-AE22A4AC8FD4}" name="Champ d'application 3 (kgC02e)" dataDxfId="322">
      <calculatedColumnFormula>SUMIF(Serveurs_de_sauvegarde[Catégorie Cyber],Cartographie_des_serveurs_de_sauvegarde[[#This Row],[Champ d''application]],Serveurs_de_sauvegarde[Champ d''application 3 (kgCO2e)])</calculatedColumnFormula>
    </tableColumn>
    <tableColumn id="14" xr3:uid="{3CCF6B1C-71E2-4021-86B3-9BDD4ADF9108}" name="Émissions totales (kgC02e)" dataDxfId="321">
      <calculatedColumnFormula>Cartographie_des_serveurs_de_sauvegarde[[#This Row],[Champ d''application 2 (kgC02e)]]+Cartographie_des_serveurs_de_sauvegarde[[#This Row],[Champ d''application 3 (kgC02e)]]</calculatedColumnFormula>
    </tableColumn>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880A236-E57A-4381-AD03-8755583B9452}" name="Cartographie_Serveurs_par_Resultats_par_Sujet" displayName="Cartographie_Serveurs_par_Resultats_par_Sujet" ref="B15:E30" totalsRowCount="1" headerRowDxfId="320" dataDxfId="319" tableBorderDxfId="318">
  <autoFilter ref="B15:E29" xr:uid="{0880A236-E57A-4381-AD03-8755583B9452}"/>
  <tableColumns count="4">
    <tableColumn id="1" xr3:uid="{935D6CC3-DBAF-4FAF-939B-7A795C60D3A2}" name="Sujet" totalsRowLabel="Total" dataDxfId="317" totalsRowDxfId="316"/>
    <tableColumn id="2" xr3:uid="{7A915948-CB13-4BE8-83C8-8849F80F992A}" name="Total des émissions des services sur place (kgCO2e)" totalsRowFunction="sum" dataDxfId="315" totalsRowDxfId="314">
      <calculatedColumnFormula>SUM(Cartographie_Serveurs_par_Resultats_par_Sujet[[#This Row],[Serveurs de sauvegarde]:[Serveurs redondants]])</calculatedColumnFormula>
    </tableColumn>
    <tableColumn id="3" xr3:uid="{D5AAD624-998E-4906-A906-752CF111120F}" name="Serveurs de sauvegarde" totalsRowFunction="sum" dataDxfId="313" totalsRowDxfId="312">
      <calculatedColumnFormula>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calculatedColumnFormula>
    </tableColumn>
    <tableColumn id="4" xr3:uid="{0BE70450-05F6-4782-B7B9-A3650DBAFF10}" name="Serveurs redondants" totalsRowFunction="sum" dataDxfId="311" totalsRowDxfId="310">
      <calculatedColumnFormula>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calculatedColumnFormula>
    </tableColumn>
  </tableColumns>
  <tableStyleInfo name="TableStyleLight8" showFirstColumn="1"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3CA11B-AE57-41CF-807D-8F521C80AA03}" name="Cartographie_Solutions_Sur_Site" displayName="Cartographie_Solutions_Sur_Site" ref="B35:O40" totalsRowShown="0" headerRowDxfId="309" headerRowBorderDxfId="308" tableBorderDxfId="307" totalsRowBorderDxfId="306">
  <autoFilter ref="B35:O40" xr:uid="{113CA11B-AE57-41CF-807D-8F521C80AA03}"/>
  <tableColumns count="14">
    <tableColumn id="1" xr3:uid="{B008EF31-415A-48BD-B509-65E9D76EB3FC}" name="Contrôle NIST" dataDxfId="305"/>
    <tableColumn id="2" xr3:uid="{425E2534-84E8-4D15-B513-65538EC7A7D8}" name="ID de l'application" dataDxfId="304"/>
    <tableColumn id="8" xr3:uid="{357CCB49-218F-4231-93FA-02D31C59986E}" name="Nom de l'application" dataDxfId="303"/>
    <tableColumn id="5" xr3:uid="{FD5CB601-47D8-4D71-A25B-1018D8429EF5}" name="Description de l'application" dataDxfId="302"/>
    <tableColumn id="4" xr3:uid="{76F13EF2-BEC3-45A4-A8BD-59598C432B90}" name="% de l'application contribuant à ce contrôle NIST" dataDxfId="301"/>
    <tableColumn id="6" xr3:uid="{E014AA3C-184E-408C-9075-DA396DC63BCE}" name="Référentiel interne" dataDxfId="300"/>
    <tableColumn id="7" xr3:uid="{5C5F478E-F538-4ADB-940A-BBFFC9151568}" name="% de l'application contribuant à ce référentiel interne" dataDxfId="299"/>
    <tableColumn id="17" xr3:uid="{F1CF4BA5-001C-42C6-9F6E-E7AEAC812A89}" name="Sujet du NIST" dataDxfId="298">
      <calculatedColumnFormula>_xlfn.XLOOKUP(Cartographie_Solutions_Sur_Site[[#This Row],[Contrôle NIST]],Contrôle_de_référence_NIST[Contrôle NIST],Contrôle_de_référence_NIST[Sujet du NIST])</calculatedColumnFormula>
    </tableColumn>
    <tableColumn id="11" xr3:uid="{5D27F925-98B3-4F49-B398-9C970350088E}" name="Émissions de carbone du NIST selon le champ d'application 2 (kGCO2e)" dataDxfId="297">
      <calculatedColumnFormula>SUMIF(Logiciels_sur_site[ID de l''application],Cartographie_Solutions_Sur_Site[[#This Row],[ID de l''application]],Logiciels_sur_site[Champ d''application 2 (kgCO2e)])*Cartographie_Solutions_Sur_Site[[#This Row],[% de l''application contribuant à ce contrôle NIST]]</calculatedColumnFormula>
    </tableColumn>
    <tableColumn id="12" xr3:uid="{A37C7B02-746B-413B-8BA0-50B61C7BBDAB}" name="Champ d'application 3 Émissions de carbone du NIST (kGCO2e)2" dataDxfId="296">
      <calculatedColumnFormula>SUMIF(Logiciels_sur_site[ID de l''application],Cartographie_Solutions_Sur_Site[[#This Row],[ID de l''application]],Logiciels_sur_site[Champ d''application 3 (kgCO2e)])*Cartographie_Solutions_Sur_Site[[#This Row],[% de l''application contribuant à ce contrôle NIST]]</calculatedColumnFormula>
    </tableColumn>
    <tableColumn id="9" xr3:uid="{8CC290DD-A2FE-4DF4-85B0-8678CEB9E8FF}" name="Émissions totales de carbone du NIST (kgCO2e)" dataDxfId="295">
      <calculatedColumnFormula>SUMIF(Logiciels_sur_site[ID de l''application],Cartographie_Solutions_Sur_Site[[#This Row],[ID de l''application]],Logiciels_sur_site[Émissions totales (kgCO2e)])*Cartographie_Solutions_Sur_Site[[#This Row],[% de l''application contribuant à ce contrôle NIST]]</calculatedColumnFormula>
    </tableColumn>
    <tableColumn id="14" xr3:uid="{D15D3A30-073D-44D8-828C-E8EF827A0681}" name="Émissions de carbone du référentiel interne Scope 2 (kgCO2e)" dataDxfId="294">
      <calculatedColumnFormula>SUMIF(Logiciels_sur_site[ID de l''application],Cartographie_Solutions_Sur_Site[[#This Row],[ID de l''application]],Logiciels_sur_site[Champ d''application 2 (kgCO2e)])*Cartographie_Solutions_Sur_Site[[#This Row],[% de l''application contribuant à ce référentiel interne]]</calculatedColumnFormula>
    </tableColumn>
    <tableColumn id="13" xr3:uid="{2F1F4982-45D9-439A-86E1-D7D354FCF02F}" name="Émissions de carbone du référentiel interne Scope 3 (kgCO2e)" dataDxfId="293">
      <calculatedColumnFormula>SUMIF(Logiciels_sur_site[ID de l''application],Cartographie_Solutions_Sur_Site[[#This Row],[ID de l''application]],Logiciels_sur_site[Champ d''application 3 (kgCO2e)])*Cartographie_Solutions_Sur_Site[[#This Row],[% de l''application contribuant à ce référentiel interne]]</calculatedColumnFormula>
    </tableColumn>
    <tableColumn id="10" xr3:uid="{9A3D3489-9176-48C6-B0C4-FDA6C23AE049}" name="Total des émissions de carbone du référentiel interne (kgCO2e)" dataDxfId="292">
      <calculatedColumnFormula>SUMIF(Logiciels_sur_site[ID de l''application],Cartographie_Solutions_Sur_Site[[#This Row],[ID de l''application]],Logiciels_sur_site[Émissions totales (kgCO2e)])*Cartographie_Solutions_Sur_Site[[#This Row],[% de l''application contribuant à ce référentiel interne]]</calculatedColumnFormula>
    </tableColumn>
  </tableColumns>
  <tableStyleInfo name="TableStyleLight8"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FF1C4F36-B5C0-4EB0-9647-0DCE24C0C93F}" name="Cartographie_Solutions_sur_Cloud" displayName="Cartographie_Solutions_sur_Cloud" ref="B46:O51" totalsRowShown="0" headerRowDxfId="291" headerRowBorderDxfId="290" tableBorderDxfId="289" totalsRowBorderDxfId="288">
  <autoFilter ref="B46:O51" xr:uid="{FF1C4F36-B5C0-4EB0-9647-0DCE24C0C93F}"/>
  <tableColumns count="14">
    <tableColumn id="14" xr3:uid="{41A92FA6-1645-4B62-95E5-04ACC865ECD7}" name="Contrôle NIST" dataDxfId="287"/>
    <tableColumn id="2" xr3:uid="{94C7CA3A-1964-4249-8099-5E1AD1ED7F0C}" name="ID de l'application" dataDxfId="286"/>
    <tableColumn id="8" xr3:uid="{3772E6E5-BCEC-43B4-A04D-4ECFEF4E9F66}" name="Nom de l'application" dataDxfId="285"/>
    <tableColumn id="5" xr3:uid="{EAD3F2F3-B6E4-461E-8443-7C7E4987DB98}" name="Description de l'application" dataDxfId="284"/>
    <tableColumn id="4" xr3:uid="{6179C576-DA69-4162-A25E-C54EF2D6C899}" name="% de l'application contribuant à ce contrôle NIST" dataDxfId="283"/>
    <tableColumn id="6" xr3:uid="{9F129ECA-3E99-4C34-945B-6F525FA5F00C}" name="Référentiel interne" dataDxfId="282"/>
    <tableColumn id="7" xr3:uid="{16B3E717-3D35-40EB-A598-12930F124C55}" name="% de l'application contribuant à ce référentiel interne" dataDxfId="281"/>
    <tableColumn id="17" xr3:uid="{CDA38954-DA51-4A94-8690-E8C4CF03BE93}" name="Sujet du NIST" dataDxfId="280">
      <calculatedColumnFormula>_xlfn.XLOOKUP(Cartographie_Solutions_sur_Cloud[[#This Row],[Contrôle NIST]],Contrôle_de_référence_NIST[Contrôle NIST],Contrôle_de_référence_NIST[Sujet du NIST])</calculatedColumnFormula>
    </tableColumn>
    <tableColumn id="9" xr3:uid="{1383B99D-4D4C-4A8F-B51F-9A6B52CB4F49}" name="Émissions de carbone du NIST selon le champ d'application 2 (kGCO2e)" dataDxfId="279">
      <calculatedColumnFormula>IFERROR(SUMIF(Methodologie_du_serveur_logiciels_sur_cloud[ID de l''application],Cartographie_Solutions_sur_Cloud[[#This Row],[ID de l''application]],Logiciels_sur_site[Champ d''application 2 (kgCO2e)])*Cartographie_Solutions_sur_Cloud[[#This Row],[% de l''application contribuant à ce contrôle NIST]],0)</calculatedColumnFormula>
    </tableColumn>
    <tableColumn id="10" xr3:uid="{5FBA12D1-0A98-463A-AFA9-7747664DD44C}" name="Champ d'application 3 Émissions de carbone du NIST (kGCO2e)2" dataDxfId="278">
      <calculatedColumnFormula>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calculatedColumnFormula>
    </tableColumn>
    <tableColumn id="1" xr3:uid="{6749CC31-6469-491C-94C3-550CA766B86D}" name="Émissions totales de carbone du NIST (kgCO2e)" dataDxfId="277">
      <calculatedColumnFormula>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calculatedColumnFormula>
    </tableColumn>
    <tableColumn id="11" xr3:uid="{89EB81B3-B684-41F1-ABC1-DFED07FE5DF7}" name="Émissions de carbone du référentiel interne Scope 2 (kgCO2e)" dataDxfId="276">
      <calculatedColumnFormula>IFERROR(SUMIF(Methodologie_du_serveur_logiciels_sur_cloud[ID de l''application],Cartographie_Solutions_sur_Cloud[[#This Row],[ID de l''application]],Logiciels_sur_site[Champ d''application 2 (kgCO2e)])*Cartographie_Solutions_sur_Cloud[[#This Row],[% de l''application contribuant à ce référentiel interne]],0)</calculatedColumnFormula>
    </tableColumn>
    <tableColumn id="12" xr3:uid="{638BDC3E-21E1-401F-9C7C-938F54BBC300}" name="Émissions de carbone du référentiel interne Scope 3 (kgCO2e)" dataDxfId="275">
      <calculatedColumnFormula>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calculatedColumnFormula>
    </tableColumn>
    <tableColumn id="13" xr3:uid="{D963125C-8EF3-4DBA-A05D-B085410198AB}" name="Total des émissions de carbone du référentiel interne (kgCO2e)" dataDxfId="274">
      <calculatedColumnFormula>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calculatedColumnFormula>
    </tableColumn>
  </tableColumns>
  <tableStyleInfo name="TableStyleLight8"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B072F686-02E1-439E-A05F-7D66DB1E887F}" name="Cartographie_Solutions_par_Resultats_par_Sujet" displayName="Cartographie_Solutions_par_Resultats_par_Sujet" ref="B15:E29" totalsRowShown="0" headerRowDxfId="273" dataDxfId="272" tableBorderDxfId="271">
  <autoFilter ref="B15:E29" xr:uid="{B072F686-02E1-439E-A05F-7D66DB1E887F}"/>
  <tableColumns count="4">
    <tableColumn id="1" xr3:uid="{9FB9A73D-9E1F-4FFA-BEF0-467CDDC972A4}" name="Sujet" dataDxfId="270"/>
    <tableColumn id="2" xr3:uid="{D34B8AD1-D4DF-4ECB-A2BF-C8F2661BD439}" name="Total des émissions de la solution Cyber (kgCO2e)" dataDxfId="269">
      <calculatedColumnFormula>SUM(Cartographie_Solutions_par_Resultats_par_Sujet[[#This Row],[Solutions dédiées à la cyber hébergées sur place]:[Solutions Cyber dédiées hébergées dans le Cloud]])</calculatedColumnFormula>
    </tableColumn>
    <tableColumn id="3" xr3:uid="{B3C163F1-29AA-4A40-9D86-2E29BB1F0964}" name="Solutions dédiées à la cyber hébergées sur place" dataDxfId="268">
      <calculatedColumnFormula>SUMIF(Cartographie_Solutions_Sur_Site[Sujet du NIST],Cartographie_Solutions_par_Resultats_par_Sujet[[#This Row],[Sujet]],Cartographie_Solutions_Sur_Site[Émissions totales de carbone du NIST (kgCO2e)])</calculatedColumnFormula>
    </tableColumn>
    <tableColumn id="4" xr3:uid="{CEAF76A2-8AB0-4263-882B-FDDA2056A076}" name="Solutions Cyber dédiées hébergées dans le Cloud" dataDxfId="267">
      <calculatedColumnFormula>SUMIF(Cartographie_Solutions_sur_Cloud[Sujet du NIST],Cartographie_Solutions_par_Resultats_par_Sujet[[#This Row],[Sujet]],Cartographie_Solutions_sur_Cloud[Émissions totales de carbone du NIST (kgCO2e)])</calculatedColumnFormula>
    </tableColumn>
  </tableColumns>
  <tableStyleInfo name="TableStyleLight8"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843EB9C-5240-48A7-8F51-1B9210BD4196}" name="Cartographie_des_TM_externes" displayName="Cartographie_des_TM_externes" ref="B34:K39" totalsRowShown="0" headerRowDxfId="266" dataDxfId="264" headerRowBorderDxfId="265" tableBorderDxfId="263" totalsRowBorderDxfId="262">
  <autoFilter ref="B34:K39" xr:uid="{A843EB9C-5240-48A7-8F51-1B9210BD4196}"/>
  <tableColumns count="10">
    <tableColumn id="1" xr3:uid="{0F4AB173-7F85-4339-A3E4-5274504D9DB8}" name="Contrôle NIST" dataDxfId="261"/>
    <tableColumn id="2" xr3:uid="{4C0E4019-DAF1-4656-BFDF-56E8614D9B44}" name="ID du service" dataDxfId="260"/>
    <tableColumn id="8" xr3:uid="{455D7A14-87D1-4F49-AF94-8864CE951222}" name="Nom du service" dataDxfId="259"/>
    <tableColumn id="5" xr3:uid="{C6375D96-65FD-406C-AF0F-29A7F3398300}" name="Description du service" dataDxfId="258"/>
    <tableColumn id="4" xr3:uid="{763BC817-2DB1-47B5-BD1D-56B742CD357F}" name="% de l'application contribuant _x000a_à ce contrôle NIST" dataDxfId="257"/>
    <tableColumn id="6" xr3:uid="{39E43E05-EB50-41DC-B038-DF704E753FC9}" name="Référentiel interne" dataDxfId="256"/>
    <tableColumn id="7" xr3:uid="{49789A95-3CB0-4A52-98FE-B97AA0BB87CE}" name="% de l'application contribuant à ce référentiel interne" dataDxfId="255"/>
    <tableColumn id="16" xr3:uid="{63514BDD-A77D-4914-A0DB-6951D665EEE6}" name="Sujet du NIST" dataDxfId="254">
      <calculatedColumnFormula>_xlfn.XLOOKUP(Cartographie_des_TM_externes[[#This Row],[Contrôle NIST]],Contrôle_de_référence_NIST[Contrôle NIST],Contrôle_de_référence_NIST[Sujet du NIST])</calculatedColumnFormula>
    </tableColumn>
    <tableColumn id="9" xr3:uid="{8C156D2D-FED1-4E22-AC8C-C7C9FBC4E0FF}" name="Émissions de carbone du NIST (kgCO2e)" dataDxfId="253">
      <calculatedColumnFormula>IFERROR(SUMIF(TM_Externes[ID du service],Cartographie_des_TM_externes[[#This Row],[ID du service]],TM_Externes[Émissions totales (kgCO2e)])*Cartographie_des_TM_externes[[#This Row],[% de l''application contribuant 
à ce contrôle NIST]],0)</calculatedColumnFormula>
    </tableColumn>
    <tableColumn id="10" xr3:uid="{4D8F5A15-7159-49CD-A657-A998DFB4D088}" name="Émissions de carbone du référentiel interne (kgCO2e)" dataDxfId="252">
      <calculatedColumnFormula>IFERROR(_xlfn.XLOOKUP(Cartographie_des_TM_externes[[#This Row],[ID du service]],TM_Externes[ID du service],TM_Externes[Émissions totales (kgCO2e)])*Cartographie_des_TM_externes[[#This Row],[% de l''application contribuant à ce référentiel interne]],0)</calculatedColumnFormula>
    </tableColumn>
  </tableColumns>
  <tableStyleInfo name="TableStyleLight8"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B7792BC-CCF9-457A-9410-92BF879628F7}" name="Cartographie_des_externes_prix_fixes" displayName="Cartographie_des_externes_prix_fixes" ref="B45:K50" totalsRowShown="0" headerRowDxfId="251" dataDxfId="249" headerRowBorderDxfId="250" tableBorderDxfId="248" totalsRowBorderDxfId="247">
  <autoFilter ref="B45:K50" xr:uid="{2B7792BC-CCF9-457A-9410-92BF879628F7}"/>
  <tableColumns count="10">
    <tableColumn id="1" xr3:uid="{038785DA-F89C-4592-9B26-0A507E6A4D43}" name="Contrôle NIST" dataDxfId="246"/>
    <tableColumn id="2" xr3:uid="{674D0FF1-C994-46C8-9DA7-607737DB38A7}" name="ID du service" dataDxfId="245"/>
    <tableColumn id="8" xr3:uid="{CF2DA46C-924C-425C-8CD8-BBBED86763A7}" name="Nom du service" dataDxfId="244"/>
    <tableColumn id="5" xr3:uid="{2E4CA45C-183C-442D-A991-709C8CB29ECC}" name="Description du service" dataDxfId="243"/>
    <tableColumn id="4" xr3:uid="{6092AF3D-A317-424E-BF6A-9BE07CD47A8C}" name="% de l'application contribuant _x000a_à ce contrôle NIST" dataDxfId="242"/>
    <tableColumn id="6" xr3:uid="{5E55ED83-3C01-4A58-9E83-FF88804E929C}" name="Référentiel interne" dataDxfId="241"/>
    <tableColumn id="7" xr3:uid="{9F3B2393-4574-482A-8B6E-B74B7490111F}" name="% de l'application contribuant à ce référentiel interne" dataDxfId="240"/>
    <tableColumn id="16" xr3:uid="{3272255E-5050-4E9F-AD1F-13DBD3603E2D}" name="Sujet du NIST" dataDxfId="239">
      <calculatedColumnFormula>_xlfn.XLOOKUP(Cartographie_des_externes_prix_fixes[[#This Row],[Contrôle NIST]],Contrôle_de_référence_NIST[Contrôle NIST],Contrôle_de_référence_NIST[Sujet du NIST])</calculatedColumnFormula>
    </tableColumn>
    <tableColumn id="9" xr3:uid="{7144ACA5-479F-405C-8E92-0417B87223C2}" name="Émissions de carbone du NIST (kgCO2e)" dataDxfId="238">
      <calculatedColumnFormula>IFERROR(SUMIF(Prix_fixes_externes[ID du service],Cartographie_des_externes_prix_fixes[[#This Row],[ID du service]],Prix_fixes_externes[Émissions totales (kgCO2e)])*Cartographie_des_externes_prix_fixes[[#This Row],[% de l''application contribuant 
à ce contrôle NIST]],0)</calculatedColumnFormula>
    </tableColumn>
    <tableColumn id="10" xr3:uid="{3F5EB6FD-ACE8-410D-846B-B97CCCCD2119}" name="Émissions de carbone du référentiel interne (kgCO2e)" dataDxfId="237">
      <calculatedColumnFormula>IFERROR(_xlfn.XLOOKUP(Cartographie_des_externes_prix_fixes[[#This Row],[ID du service]],Prix_fixes_externes[ID du service],Prix_fixes_externes[Émissions totales (kgCO2e)])*Cartographie_des_externes_prix_fixes[[#This Row],[% de l''application contribuant à ce référentiel interne]],0)</calculatedColumnFormula>
    </tableColumn>
  </tableColumns>
  <tableStyleInfo name="TableStyleLight8"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D05576D-D476-47D9-AE26-DA757B1E9826}" name="Cartographie_des_résultats_externes_par_sujet" displayName="Cartographie_des_résultats_externes_par_sujet" ref="B15:E29" totalsRowShown="0" headerRowDxfId="236" dataDxfId="235" tableBorderDxfId="234">
  <autoFilter ref="B15:E29" xr:uid="{3D05576D-D476-47D9-AE26-DA757B1E9826}"/>
  <tableColumns count="4">
    <tableColumn id="1" xr3:uid="{B2AB42BB-64F5-4C9C-842A-4326F31ECDED}" name="Sujet" dataDxfId="233"/>
    <tableColumn id="2" xr3:uid="{7964539D-9A5D-4009-B47B-FCFA6D73776F}" name="Total des émissions des services extérieurs (kgCO2e)" dataDxfId="232">
      <calculatedColumnFormula>SUM(Cartographie_des_résultats_externes_par_sujet[[#This Row],[T&amp;M Services dédiés au cyberespace]:[Services à prix fixe dédiés à la cybernétique]])</calculatedColumnFormula>
    </tableColumn>
    <tableColumn id="3" xr3:uid="{1CEC38C1-7298-44F1-B27D-12BB2F9584CE}" name="T&amp;M Services dédiés au cyberespace" dataDxfId="231">
      <calculatedColumnFormula>SUMIF(Cartographie_des_TM_externes[Sujet du NIST],Cartographie_des_résultats_externes_par_sujet[[#This Row],[Sujet]],Cartographie_des_TM_externes[Émissions de carbone du NIST (kgCO2e)])</calculatedColumnFormula>
    </tableColumn>
    <tableColumn id="4" xr3:uid="{56871C13-D157-423B-83F2-6CF3EBBE8C2D}" name="Services à prix fixe dédiés à la cybernétique" dataDxfId="230">
      <calculatedColumnFormula>SUMIF(Cartographie_des_externes_prix_fixes[Sujet du NIST],Cartographie_des_résultats_externes_par_sujet[[#This Row],[Sujet]],Cartographie_des_externes_prix_fixes[Émissions de carbone du NIST (kgCO2e)])</calculatedColumnFormula>
    </tableColumn>
  </tableColumns>
  <tableStyleInfo name="TableStyleLight8"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E60D692-4930-429B-A9A1-E5CF1A655F88}" name="Cartographie_voyage" displayName="Cartographie_voyage" ref="B33:F36" totalsRowShown="0" headerRowDxfId="229" headerRowBorderDxfId="228" tableBorderDxfId="227" totalsRowBorderDxfId="226">
  <autoFilter ref="B33:F36" xr:uid="{0E60D692-4930-429B-A9A1-E5CF1A655F88}"/>
  <tableColumns count="5">
    <tableColumn id="5" xr3:uid="{05E97A00-A395-4456-A09B-7FA2DEDAB66C}" name="Type de transport" dataDxfId="225"/>
    <tableColumn id="1" xr3:uid="{B2A4F3E7-C9ED-4790-93E2-DCD6AAC46876}" name="Référentiel interne" dataDxfId="224"/>
    <tableColumn id="7" xr3:uid="{D94ACA17-28E0-4812-9C1C-69058F8EDEB1}" name="Contrôle NIST" dataDxfId="223"/>
    <tableColumn id="8" xr3:uid="{58806DC6-CE64-41D0-8158-502D4DB11FFE}" name="Sujet du NIST" dataDxfId="222">
      <calculatedColumnFormula>_xlfn.XLOOKUP(Cartographie_voyage[[#This Row],[Contrôle NIST]],Contrôle_de_référence_NIST[Contrôle NIST],Contrôle_de_référence_NIST[Sujet du NIST])</calculatedColumnFormula>
    </tableColumn>
    <tableColumn id="4" xr3:uid="{64096691-EA32-4602-881D-28172370368F}" name="Émissions totales (kgC02e)" dataDxfId="221">
      <calculatedColumnFormula>SUMIF(Voyage[Type de transport],Cartographie_voyage[[#This Row],[Type de transport]],Voyage[Émissions totales (kgC02e)])</calculatedColumnFormula>
    </tableColumn>
  </tableColumns>
  <tableStyleInfo name="TableStyleLight8"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50CCF737-F0EE-458C-943A-DC63972D6A4A}" name="Cartographie_des_résultats_de_voyage_par_sujet" displayName="Cartographie_des_résultats_de_voyage_par_sujet" ref="B15:C30" totalsRowCount="1" headerRowDxfId="220" tableBorderDxfId="219">
  <autoFilter ref="B15:C29" xr:uid="{50CCF737-F0EE-458C-943A-DC63972D6A4A}"/>
  <tableColumns count="2">
    <tableColumn id="1" xr3:uid="{14F53F66-8244-465A-8F32-C7CE4B995FE0}" name="Sujet" totalsRowLabel="Total" dataDxfId="218" totalsRowDxfId="217"/>
    <tableColumn id="2" xr3:uid="{C6FE19BC-0C29-43D7-9042-C8539156CE78}" name="Total des voyages (kgCO2e)" totalsRowFunction="sum" dataDxfId="216" totalsRowDxfId="215">
      <calculatedColumnFormula>SUMIF(Cartographie_voyage[Sujet du NIST],Cartographie_des_résultats_de_voyage_par_sujet[[#This Row],[Sujet]],Cartographie_voyage[Émissions totales (kgC02e)])</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50E0E5E-C9CA-4A6A-91CA-D9D14CBFDA33}" name="Emplacement_du_personnel_Cyber" displayName="Emplacement_du_personnel_Cyber" ref="B26:D30" totalsRowShown="0" headerRowDxfId="692" dataDxfId="690" headerRowBorderDxfId="691" tableBorderDxfId="689" totalsRowBorderDxfId="688">
  <autoFilter ref="B26:D30" xr:uid="{B50E0E5E-C9CA-4A6A-91CA-D9D14CBFDA33}"/>
  <tableColumns count="3">
    <tableColumn id="1" xr3:uid="{6D69FDFA-32AB-455B-8CEE-AB2D81C49E4E}" name="Pays" dataDxfId="687"/>
    <tableColumn id="2" xr3:uid="{B7F0D7C8-BA54-4725-847A-585BC99E7200}" name="% ou nombre d'internes dans ce pays" dataDxfId="686"/>
    <tableColumn id="3" xr3:uid="{47020B3C-90C6-4140-AEED-9FC2D0D8209C}" name="Intensité carbone du mix électrique par zone géographique (kgCO2e/kWh)" dataDxfId="685">
      <calculatedColumnFormula>IFERROR(VLOOKUP(Emplacement_du_personnel_Cyber[[#This Row],[Pays]],Mix_électrique[],2,FALSE),0)</calculatedColumnFormula>
    </tableColumn>
  </tableColumns>
  <tableStyleInfo name="TableStyleLight8"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712AB85-34A9-40BA-8878-A2E39A2F782B}" name="Cartographie_poste_de_travail_non_cyber_ordinateur_portable" displayName="Cartographie_poste_de_travail_non_cyber_ordinateur_portable" ref="B33:I38" totalsRowShown="0" headerRowDxfId="214" headerRowBorderDxfId="213" tableBorderDxfId="212">
  <autoFilter ref="B33:I38" xr:uid="{D38FD372-162A-4006-ADDF-9863B233DC4E}"/>
  <tableColumns count="8">
    <tableColumn id="3" xr3:uid="{0A028ED1-4D08-4FC9-8CF0-61C420145FDD}" name="Champ d'application" dataDxfId="211"/>
    <tableColumn id="4" xr3:uid="{4653B5EA-691B-4F9C-9B0E-EB907260E060}" name="Référentiel interne" dataDxfId="210"/>
    <tableColumn id="5" xr3:uid="{50E4D012-9A87-4F72-AB73-767BA51FEE8C}" name="Contrôle NIST" dataDxfId="209"/>
    <tableColumn id="14" xr3:uid="{136BFEDD-5080-41DE-9163-9AFB4102CC34}" name="Sujet du NIST" dataDxfId="208">
      <calculatedColumnFormula>_xlfn.XLOOKUP(Cartographie_poste_de_travail_non_cyber_ordinateur_portable[[#This Row],[Contrôle NIST]],Contrôle_de_référence_NIST[Contrôle NIST],Contrôle_de_référence_NIST[Sujet du NIST])</calculatedColumnFormula>
    </tableColumn>
    <tableColumn id="2" xr3:uid="{0C68EA72-C1D8-4BBC-8E60-E2CDA1F35505}" name="% Dédié à la Cyber" dataDxfId="207"/>
    <tableColumn id="9" xr3:uid="{B79F27F2-6316-41E9-8A72-D239419D3643}" name="Champ d'application 2 (kgC02e)" dataDxfId="206"/>
    <tableColumn id="10" xr3:uid="{095449B9-35B5-400E-9E47-A93448A20CDA}" name="Champ d'application 3 (kgC02e)" dataDxfId="205"/>
    <tableColumn id="11" xr3:uid="{CC26A2B3-8624-403D-82B0-B8F41EC1343B}" name="Émissions totales (kgC02e)" dataDxfId="204">
      <calculatedColumnFormula>Cartographie_poste_de_travail_non_cyber_ordinateur_portable[[#This Row],[Champ d''application 2 (kgC02e)]]+Cartographie_poste_de_travail_non_cyber_ordinateur_portable[[#This Row],[Champ d''application 3 (kgC02e)]]</calculatedColumnFormula>
    </tableColumn>
  </tableColumns>
  <tableStyleInfo name="TableStyleLight8"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A1B2A81-0AFF-4723-8673-B84D07C662D2}" name="Cartographie_non_cyber_VDI" displayName="Cartographie_non_cyber_VDI" ref="B51:H53" totalsRowShown="0" headerRowDxfId="203" headerRowBorderDxfId="202" tableBorderDxfId="201">
  <autoFilter ref="B51:H53" xr:uid="{DD40D82B-EC22-4A09-8799-6E700DE782CA}"/>
  <tableColumns count="7">
    <tableColumn id="3" xr3:uid="{B2B0C5DE-8094-4630-90C7-04C8062C8ED4}" name="Champ d'application" dataDxfId="200"/>
    <tableColumn id="4" xr3:uid="{98E7F775-7CAD-49EA-831D-9BE9F02B882C}" name="Référentiel interne" dataDxfId="199"/>
    <tableColumn id="2" xr3:uid="{2B7B3B33-1EDA-4866-8E2E-BF30EFB05E22}" name="Contrôle NIST" dataDxfId="198"/>
    <tableColumn id="13" xr3:uid="{5CBAFC8B-6654-4B26-8EC2-40E64FB56A68}" name="Sujet du NIST" dataDxfId="197">
      <calculatedColumnFormula>_xlfn.XLOOKUP(Cartographie_non_cyber_VDI[[#This Row],[Contrôle NIST]],Contrôle_de_référence_NIST[Contrôle NIST],Contrôle_de_référence_NIST[Sujet du NIST])</calculatedColumnFormula>
    </tableColumn>
    <tableColumn id="9" xr3:uid="{C24868BC-2999-4FEE-A8E8-793CD965AC35}" name="Champ d'application 2 (kgC02e)" dataDxfId="196">
      <calculatedColumnFormula>'1.9 Équipements Non-cyber'!H31</calculatedColumnFormula>
    </tableColumn>
    <tableColumn id="10" xr3:uid="{7215CCAE-693D-448D-BE91-A0249B74EB09}" name="Champ d'application 3 (kgC02e)" dataDxfId="195">
      <calculatedColumnFormula>'1.9 Équipements Non-cyber'!I31</calculatedColumnFormula>
    </tableColumn>
    <tableColumn id="11" xr3:uid="{4AF7347A-2389-4458-8CCB-121C6A90CC80}" name="Émissions totales (kgC02e)" dataDxfId="194">
      <calculatedColumnFormula>Cartographie_non_cyber_VDI[[#This Row],[Champ d''application 2 (kgC02e)]]+Cartographie_non_cyber_VDI[[#This Row],[Champ d''application 3 (kgC02e)]]</calculatedColumnFormula>
    </tableColumn>
  </tableColumns>
  <tableStyleInfo name="TableStyleLight8"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6013368-9E96-45E2-AB3E-132B4C73B628}" name="Cartographie_des_résultats_non_cyber_par_sujet" displayName="Cartographie_des_résultats_non_cyber_par_sujet" ref="B15:G30" totalsRowCount="1" headerRowDxfId="193" dataDxfId="192">
  <autoFilter ref="B15:G29" xr:uid="{483EE77C-FECB-46D0-A910-481B00ED8A3A}"/>
  <tableColumns count="6">
    <tableColumn id="1" xr3:uid="{1675A017-801B-4259-AA8E-1011B2E2574C}" name="Contrôle NIST" totalsRowLabel="Total"/>
    <tableColumn id="2" xr3:uid="{29FA26FC-CA1A-4958-B997-4411BC09BDD9}" name="Total des émissions de logs et d'antivirus pour les équipements non Cyber (kgCO2e)" totalsRowFunction="sum" dataDxfId="191" totalsRowDxfId="190">
      <calculatedColumnFormula>SUM(Cartographie_des_résultats_non_cyber_par_sujet[[#This Row],[Poste de travail - Ordinateur portable]:[Serveurs non Cyber]])</calculatedColumnFormula>
    </tableColumn>
    <tableColumn id="3" xr3:uid="{9F4B564B-5BD5-4BDE-AAC1-2077F33A3E3C}" name="Poste de travail - Ordinateur portable" totalsRowFunction="sum" dataDxfId="189" totalsRowDxfId="188">
      <calculatedColumnFormula>SUMIF(Cartographie_poste_de_travail_non_cyber_ordinateur_portable[Sujet du NIST],Cartographie_des_résultats_non_cyber_par_sujet[[#This Row],[Contrôle NIST]],Cartographie_poste_de_travail_non_cyber_ordinateur_portable[Émissions totales (kgC02e)])</calculatedColumnFormula>
    </tableColumn>
    <tableColumn id="7" xr3:uid="{820AF5DF-26F9-48D2-B65C-F2DBC5AE7C5B}" name="Poste de travail - Ordinateur de bureau" totalsRowFunction="sum" dataDxfId="187" totalsRowDxfId="186">
      <calculatedColumnFormula>SUMIF(Cartographie_poste_de_travail_non_cyber_ordinateur_de_bureau[Sujet du NIST],Cartographie_des_résultats_non_cyber_par_sujet[[#This Row],[Contrôle NIST]],Cartographie_poste_de_travail_non_cyber_ordinateur_de_bureau[Émissions totales (kgC02e)])</calculatedColumnFormula>
    </tableColumn>
    <tableColumn id="4" xr3:uid="{212EF582-A61D-408D-AFB1-ACF100B70EC2}" name="VDI" totalsRowFunction="sum" dataDxfId="185" totalsRowDxfId="184">
      <calculatedColumnFormula>SUMIF(Cartographie_non_cyber_VDI[Sujet du NIST],Cartographie_des_résultats_non_cyber_par_sujet[[#This Row],[Contrôle NIST]],Cartographie_non_cyber_VDI[Émissions totales (kgC02e)])</calculatedColumnFormula>
    </tableColumn>
    <tableColumn id="5" xr3:uid="{86C1FB89-5339-45A6-8A84-669CDB9E471A}" name="Serveurs non Cyber" totalsRowFunction="custom" dataDxfId="183" totalsRowDxfId="182">
      <calculatedColumnFormula>SUMIF(Cartographie_non_cyber_serveurs[Sujet du NIST],Cartographie_des_résultats_non_cyber_par_sujet[[#This Row],[Contrôle NIST]],Cartographie_non_cyber_serveurs[Émissions totales (kgC02e)])</calculatedColumnFormula>
      <totalsRowFormula>SUBTOTAL(109,Cartographie_des_résultats_non_cyber_par_sujet[Serveurs non Cyber])</totalsRowFormula>
    </tableColumn>
  </tableColumns>
  <tableStyleInfo name="TableStyleLight8" showFirstColumn="1"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897C450-A163-472A-BA25-12D718A9BE47}" name="Cartographie_poste_de_travail_non_cyber_ordinateur_de_bureau" displayName="Cartographie_poste_de_travail_non_cyber_ordinateur_de_bureau" ref="B42:I47" totalsRowShown="0" headerRowDxfId="181" headerRowBorderDxfId="180" tableBorderDxfId="179">
  <autoFilter ref="B42:I47" xr:uid="{C39D8349-E1C0-47B0-8F33-2F08BA7139D9}"/>
  <tableColumns count="8">
    <tableColumn id="3" xr3:uid="{5D0AAA6E-B50B-4726-AECB-20841C271C86}" name="Champ d'application" dataDxfId="178"/>
    <tableColumn id="4" xr3:uid="{EF90DDD3-4124-4DF9-A3AD-02C5558DB1B7}" name="Référentiel interne" dataDxfId="177"/>
    <tableColumn id="5" xr3:uid="{DCF5F57B-4A53-4C27-A1BA-2C71760F73E9}" name="Contrôle NIST" dataDxfId="176"/>
    <tableColumn id="14" xr3:uid="{D9525274-E899-487E-84C4-1BB1643F7009}" name="Sujet du NIST" dataDxfId="175">
      <calculatedColumnFormula>_xlfn.XLOOKUP(Cartographie_poste_de_travail_non_cyber_ordinateur_de_bureau[[#This Row],[Contrôle NIST]],Contrôle_de_référence_NIST[Contrôle NIST],Contrôle_de_référence_NIST[Sujet du NIST])</calculatedColumnFormula>
    </tableColumn>
    <tableColumn id="2" xr3:uid="{A4F53E90-95DC-4561-83DA-AE6AF4B66377}" name="% Dédié à la Cyber" dataDxfId="174"/>
    <tableColumn id="9" xr3:uid="{CA5C7A09-EE57-4842-984F-DA339B7776B4}" name="Champ d'application 2 (kgC02e)" dataDxfId="173"/>
    <tableColumn id="10" xr3:uid="{61ABD584-71E3-4D8F-980F-C6B5B232ADB3}" name="Champ d'application 3 (kgC02e)" dataDxfId="172"/>
    <tableColumn id="11" xr3:uid="{0AF5263F-89F2-4B6D-87FC-7B8A0A9CF457}" name="Émissions totales (kgC02e)" dataDxfId="171">
      <calculatedColumnFormula>Cartographie_poste_de_travail_non_cyber_ordinateur_de_bureau[[#This Row],[Champ d''application 2 (kgC02e)]]+Cartographie_poste_de_travail_non_cyber_ordinateur_de_bureau[[#This Row],[Champ d''application 3 (kgC02e)]]</calculatedColumnFormula>
    </tableColumn>
  </tableColumns>
  <tableStyleInfo name="TableStyleLight8"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66B7BC1-5877-4E70-955A-7B6D3CE7DCF6}" name="Cartographie_non_cyber_serveurs" displayName="Cartographie_non_cyber_serveurs" ref="B58:I60" totalsRowShown="0" headerRowDxfId="170" headerRowBorderDxfId="169" tableBorderDxfId="168">
  <autoFilter ref="B58:I60" xr:uid="{166B7BC1-5877-4E70-955A-7B6D3CE7DCF6}"/>
  <tableColumns count="8">
    <tableColumn id="3" xr3:uid="{85612EE9-5DFC-4FA7-B7F8-A4E3A4A75852}" name="Champ d'application" dataDxfId="167"/>
    <tableColumn id="4" xr3:uid="{8F096905-3810-40F6-8CBF-9BE216AD352D}" name="Référentiel interne" dataDxfId="166"/>
    <tableColumn id="5" xr3:uid="{ED01C645-5277-4047-83C7-CF9CB7124A3A}" name="Contrôle NIST" dataDxfId="165"/>
    <tableColumn id="15" xr3:uid="{BA25CCF4-2CCC-41B5-B240-1149E4BBAB50}" name="Sujet du NIST" dataDxfId="164">
      <calculatedColumnFormula>_xlfn.XLOOKUP(Cartographie_non_cyber_serveurs[[#This Row],[Contrôle NIST]],Contrôle_de_référence_NIST[Contrôle NIST],Contrôle_de_référence_NIST[Sujet du NIST])</calculatedColumnFormula>
    </tableColumn>
    <tableColumn id="8" xr3:uid="{11F52D20-A014-46E1-B0C1-CA7B701F5A4D}" name="% Dédié à la Cyber" dataDxfId="163">
      <calculatedColumnFormula>'3.3 Hypothèses'!D17</calculatedColumnFormula>
    </tableColumn>
    <tableColumn id="9" xr3:uid="{C6C4B1B9-17C7-463A-BB78-F5EB9E4D36A5}" name="Champ d'application 2 (kgC02e)" dataDxfId="162">
      <calculatedColumnFormula>SUM(Serveurs_Non_Cyber[Champ d''application 2 (kgCO2e)])*Cartographie_non_cyber_serveurs[[#This Row],[% Dédié à la Cyber]]</calculatedColumnFormula>
    </tableColumn>
    <tableColumn id="10" xr3:uid="{6E834B94-E183-460B-BAE4-F1E0A5F5D2ED}" name="Champ d'application 3 (kgC02e)" dataDxfId="161">
      <calculatedColumnFormula>SUM(Serveurs_Non_Cyber[Champ d''application 3 (kgCO2e)])*Cartographie_non_cyber_serveurs[[#This Row],[% Dédié à la Cyber]]</calculatedColumnFormula>
    </tableColumn>
    <tableColumn id="14" xr3:uid="{A4A22947-8F31-4B13-A029-2143E850814C}" name="Émissions totales (kgC02e)" dataDxfId="160">
      <calculatedColumnFormula>Cartographie_non_cyber_serveurs[[#This Row],[Champ d''application 2 (kgC02e)]]+Cartographie_non_cyber_serveurs[[#This Row],[Champ d''application 3 (kgC02e)]]</calculatedColumnFormula>
    </tableColumn>
  </tableColumns>
  <tableStyleInfo name="TableStyleLight8"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83E2FB5-39DF-4D2C-AF7E-123FF934D0C5}" name="Mix_électrique" displayName="Mix_électrique" ref="B4:D144" totalsRowShown="0" headerRowDxfId="159" dataDxfId="158" tableBorderDxfId="157">
  <autoFilter ref="B4:D144" xr:uid="{0E6315BF-E54B-449C-BFAD-A0282335C124}"/>
  <sortState xmlns:xlrd2="http://schemas.microsoft.com/office/spreadsheetml/2017/richdata2" ref="B5:C144">
    <sortCondition ref="B4:B144"/>
  </sortState>
  <tableColumns count="3">
    <tableColumn id="1" xr3:uid="{E314BCED-8B35-4824-BC02-311B885A3A75}" name="Pays" dataDxfId="156"/>
    <tableColumn id="2" xr3:uid="{1454FA65-593D-4D43-9129-6370BB9BC8CC}" name="kgCO2e / kWh" dataDxfId="155"/>
    <tableColumn id="3" xr3:uid="{A0584BFA-63D6-4FB3-B090-51246133CDDC}" name="Commentaire" dataDxfId="154"/>
  </tableColumns>
  <tableStyleInfo name="TableStyleMedium2" showFirstColumn="0" showLastColumn="0" showRowStripes="0"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DB05AE9-D860-487A-91FC-E3247025FA30}" name="Tableau3" displayName="Tableau3" ref="C7:K9" totalsRowShown="0" headerRowDxfId="153" tableBorderDxfId="152">
  <autoFilter ref="C7:K9" xr:uid="{6DB05AE9-D860-487A-91FC-E3247025FA30}"/>
  <tableColumns count="9">
    <tableColumn id="1" xr3:uid="{A693A9CE-3F3E-4EEB-9859-26309BB5D985}" name="Nom"/>
    <tableColumn id="2" xr3:uid="{5272CFE1-2E5C-44FB-97D1-565E1F33B785}" name="Source"/>
    <tableColumn id="3" xr3:uid="{3B4D3F83-15D1-4B8F-AC31-07A90A3BB429}" name="Paramètre"/>
    <tableColumn id="4" xr3:uid="{7E827EB3-76C2-4E24-ABD6-1D612E65C081}" name="Durée de vie moyenne (années)"/>
    <tableColumn id="5" xr3:uid="{FA7683A4-D4BE-44E4-870B-75C141ABFD4D}" name="Fabrication (kCO2e)"/>
    <tableColumn id="6" xr3:uid="{EE59E038-90A7-440A-8EB4-44BB8AE87C34}" name="Consommation (kWh/an)"/>
    <tableColumn id="7" xr3:uid="{059F2256-38F8-4A00-8CE1-2325A98399C7}" name="Description"/>
    <tableColumn id="9" xr3:uid="{A2DF4BC4-998B-48A1-8ECD-1D52F715DA5A}" name="Lien 1"/>
    <tableColumn id="10" xr3:uid="{334E57D2-C96A-4654-A08E-AF142D1F9216}" name="Lien 2"/>
  </tableColumns>
  <tableStyleInfo name="TableStyleLight8"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95E620A-0342-4465-ABE6-C20524D4ECC6}" name="Tableau13" displayName="Tableau13" ref="C13:K15" totalsRowShown="0" headerRowDxfId="151" tableBorderDxfId="150">
  <autoFilter ref="C13:K15" xr:uid="{895E620A-0342-4465-ABE6-C20524D4ECC6}"/>
  <tableColumns count="9">
    <tableColumn id="1" xr3:uid="{EA211121-1F38-47D4-AD48-3914C666F2B6}" name="Nom"/>
    <tableColumn id="2" xr3:uid="{943DE098-65A7-4472-907C-F17085D3A3D9}" name="Source"/>
    <tableColumn id="3" xr3:uid="{6865ED23-A563-4565-845C-F557E5C580A4}" name="Paramètre"/>
    <tableColumn id="4" xr3:uid="{84E901F3-1DF8-4193-B1EA-258ED2325397}" name="Fabrication + utilisation (kCO2e)"/>
    <tableColumn id="5" xr3:uid="{CE61AF89-C0E6-485D-8753-06871FAEDEE9}" name="Fabrication (kCO2e)"/>
    <tableColumn id="6" xr3:uid="{D042D3CF-F944-4D4C-9429-4293882195E0}" name="Consommation (kWh/an)"/>
    <tableColumn id="7" xr3:uid="{AE314951-052E-4BDF-9362-FF67C60D52A4}" name="Description"/>
    <tableColumn id="9" xr3:uid="{B2AFA748-95E0-493C-BD89-3F6BC17E2729}" name="Lien 1"/>
    <tableColumn id="10" xr3:uid="{B1EB4B38-A5CE-4DAD-A072-57E97D07E9FD}" name="Lien 2"/>
  </tableColumns>
  <tableStyleInfo name="TableStyleLight8"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7BEDFD7-B958-4CA6-918E-727AA8B1F8AF}" name="Tableau24" displayName="Tableau24" ref="C21:K23" totalsRowShown="0" headerRowDxfId="149" tableBorderDxfId="148">
  <autoFilter ref="C21:K23" xr:uid="{F7BEDFD7-B958-4CA6-918E-727AA8B1F8AF}"/>
  <tableColumns count="9">
    <tableColumn id="1" xr3:uid="{E5E33865-C4FD-4EE5-8286-D4D521EBF012}" name="Nom"/>
    <tableColumn id="2" xr3:uid="{14DA234D-1A90-49B3-B8AC-F19FC0619D56}" name="Source"/>
    <tableColumn id="3" xr3:uid="{24B47C1B-5075-4024-B517-CFC6957F3CC2}" name="Paramètre"/>
    <tableColumn id="4" xr3:uid="{16E71EBC-976A-4A84-A497-E13BF5840A37}" name="Durée de vie moyenne (années)"/>
    <tableColumn id="5" xr3:uid="{685A514A-E3AE-4CA5-8992-E93BBE351144}" name="Fabrication (kCO2e)"/>
    <tableColumn id="6" xr3:uid="{50832A6C-45C8-477F-8D02-122D5A16259A}" name="Consommation (kWh/an)"/>
    <tableColumn id="7" xr3:uid="{DF2F063C-36B8-418A-9BAB-3CC95A5CFB3F}" name="Description"/>
    <tableColumn id="9" xr3:uid="{7460E5D0-3332-4FFF-BF2D-B03EB16DAB5F}" name="Lien 1"/>
    <tableColumn id="10" xr3:uid="{05159D2D-C02F-4954-BF4D-1AAE45AFFCD6}" name="Lien 2"/>
  </tableColumns>
  <tableStyleInfo name="TableStyleLight8"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A29B3C7-E0AC-42E2-996D-B8CD0B5CDF18}" name="Tableau25" displayName="Tableau25" ref="C26:K28" totalsRowShown="0" headerRowDxfId="147" tableBorderDxfId="146">
  <autoFilter ref="C26:K28" xr:uid="{7A29B3C7-E0AC-42E2-996D-B8CD0B5CDF18}"/>
  <tableColumns count="9">
    <tableColumn id="1" xr3:uid="{EDFF6838-90EA-4357-8EBF-F645EB1FB7C9}" name="Nom">
      <calculatedColumnFormula>IF('3.2 Facteurs d''émission'!$D27&lt;&gt;"",""&amp;$C$25&amp;IF('3.2 Facteurs d''émission'!$E27&lt;&gt;"",""&amp;" - "&amp;'3.2 Facteurs d''émission'!$E27,"")&amp;" - "&amp;'3.2 Facteurs d''émission'!$D27,"")</calculatedColumnFormula>
    </tableColumn>
    <tableColumn id="2" xr3:uid="{2A22E4B8-CE62-4EAB-81E1-7C18304D8296}" name="Source"/>
    <tableColumn id="3" xr3:uid="{7BED991C-0770-48F6-A0CE-0E29E55AE26E}" name="Paramètre"/>
    <tableColumn id="4" xr3:uid="{FD07BC17-702A-4A51-B64F-6DCA489C3017}" name="Durée de vie moyenne (années)"/>
    <tableColumn id="5" xr3:uid="{A8A2D3E4-627A-4888-B2D1-49483ACBF776}" name="Fabrication (kCO2e)"/>
    <tableColumn id="6" xr3:uid="{63119634-1992-493E-8369-E00F52347E4E}" name="Consommation (kWh/an)"/>
    <tableColumn id="7" xr3:uid="{6AF10276-E9F7-4A0F-8048-2E520CB48B98}" name="Description"/>
    <tableColumn id="9" xr3:uid="{E4726005-E8A7-4E61-B206-2FA1AA1B01CB}" name="Lien 1"/>
    <tableColumn id="10" xr3:uid="{4A4A430B-D31E-4AAE-8392-AA52060CE6FA}" name="Lien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38FD372-162A-4006-ADDF-9863B233DC4E}" name="Appareils_poste_de_travail_ordinateur_portable" displayName="Appareils_poste_de_travail_ordinateur_portable" ref="B14:K17" totalsRowShown="0" headerRowDxfId="684" dataDxfId="682" headerRowBorderDxfId="683" tableBorderDxfId="681">
  <autoFilter ref="B14:K17" xr:uid="{D38FD372-162A-4006-ADDF-9863B233DC4E}"/>
  <tableColumns count="10">
    <tableColumn id="3" xr3:uid="{AC4680A4-A730-47F7-965C-7DC4E2AA1004}" name="Champ d'application" dataDxfId="680"/>
    <tableColumn id="4" xr3:uid="{DC066833-C057-465D-AAAD-379A4568A529}" name="Quantité " dataDxfId="679"/>
    <tableColumn id="5" xr3:uid="{FAD0A925-7BCE-4016-BE53-1FDA8BB56573}" name="Durée de vie" dataDxfId="678"/>
    <tableColumn id="2" xr3:uid="{3BE5FD39-DA33-46BF-A0E1-6EB28C023AC0}" name="Mix électrique (kgCO2e/kWh)" dataDxfId="677"/>
    <tableColumn id="8" xr3:uid="{49D9E80F-DEEC-4E52-A6AD-0CD07C455F4A}" name="Facteur d'émission" dataDxfId="676">
      <calculatedColumnFormula>'3.2 Facteurs d''émission'!$C$8</calculatedColumnFormula>
    </tableColumn>
    <tableColumn id="14" xr3:uid="{20293B04-7A50-4CE6-9FAE-8860184A883C}" name="Consommation électrique (kWh/an/unité)" dataDxfId="675">
      <calculatedColumnFormula>VLOOKUP(Appareils_poste_de_travail_ordinateur_portable[[#This Row],[Facteur d''émission]],Tableau3[[Nom]:[Consommation (kWh/an)]],6,FALSE)</calculatedColumnFormula>
    </tableColumn>
    <tableColumn id="15" xr3:uid="{CF1F13FE-DBAB-469F-8D9B-222C6C475874}" name="Fabrication (kgCO2e/unité)" dataDxfId="674">
      <calculatedColumnFormula>VLOOKUP(Appareils_poste_de_travail_ordinateur_portable[[#This Row],[Facteur d''émission]],Tableau3[[Nom]:[Consommation (kWh/an)]],5,FALSE)</calculatedColumnFormula>
    </tableColumn>
    <tableColumn id="9" xr3:uid="{DAB7512A-9E1D-4868-97F7-44BB80172A74}" name="Champ d'application 2 (kgC02e)" dataDxfId="673">
      <calculatedColumnFormula>IFERROR(Appareils_poste_de_travail_ordinateur_portable[[#This Row],[Consommation électrique (kWh/an/unité)]]*Appareils_poste_de_travail_ordinateur_portable[[#This Row],[Mix électrique (kgCO2e/kWh)]]*Appareils_poste_de_travail_ordinateur_portable[[#This Row],[Quantité ]],0)</calculatedColumnFormula>
    </tableColumn>
    <tableColumn id="10" xr3:uid="{EBDAFC02-5EEE-40D7-B227-9CAB829F2390}" name="Champ d'application 3 (kgC02e)" dataDxfId="672">
      <calculatedColumnFormula>Appareils_poste_de_travail_ordinateur_portable[[#This Row],[Fabrication (kgCO2e/unité)]]*Appareils_poste_de_travail_ordinateur_portable[[#This Row],[Quantité ]]/Appareils_poste_de_travail_ordinateur_portable[[#This Row],[Durée de vie]]</calculatedColumnFormula>
    </tableColumn>
    <tableColumn id="11" xr3:uid="{C0997D39-E502-42B7-B7DD-2B9100234AA2}" name="Émissions totales (kgC02e)" dataDxfId="671">
      <calculatedColumnFormula>Appareils_poste_de_travail_ordinateur_portable[[#This Row],[Champ d''application 2 (kgC02e)]]+Appareils_poste_de_travail_ordinateur_portable[[#This Row],[Champ d''application 3 (kgC02e)]]</calculatedColumnFormula>
    </tableColumn>
  </tableColumns>
  <tableStyleInfo name="TableStyleLight8"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4383AFF-5616-4354-AE20-74E43AEF99E2}" name="Tableau27" displayName="Tableau27" ref="C33:K35" totalsRowShown="0" headerRowDxfId="145">
  <autoFilter ref="C33:K35" xr:uid="{34383AFF-5616-4354-AE20-74E43AEF99E2}"/>
  <tableColumns count="9">
    <tableColumn id="1" xr3:uid="{D09846EE-E575-4F4F-8E54-3880F963D9E1}" name="Nom"/>
    <tableColumn id="2" xr3:uid="{5B7E9701-3347-44C1-BD75-E307147DC35C}" name="Source"/>
    <tableColumn id="3" xr3:uid="{258B8D51-FC36-4981-A642-27094FC2599E}" name="Paramètre"/>
    <tableColumn id="4" xr3:uid="{B4BCDD5F-73CF-42EB-8FCD-8F416F3C5E8F}" name="Fabrication + utilisation (kCO2e)"/>
    <tableColumn id="5" xr3:uid="{CD1C4DDC-9E2D-4828-82A1-4F5D126D5ABC}" name="Fabrication (kCO2e)"/>
    <tableColumn id="6" xr3:uid="{B269E1DD-6283-46B1-BF27-882DBD245865}" name="Consommation (kWh/an)"/>
    <tableColumn id="7" xr3:uid="{6D97049D-A254-4826-9893-B8F9F0F1EF5B}" name="Description"/>
    <tableColumn id="9" xr3:uid="{8CCBF41A-93DA-4B0A-A01E-BBEF70451DB4}" name="Lien 1"/>
    <tableColumn id="10" xr3:uid="{90086DC7-78F8-479B-8823-C13B22C127BE}" name="Lien 2"/>
  </tableColumns>
  <tableStyleInfo name="TableStyleLight8"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6A311CC-9CEA-485A-9C7A-A39C00F4A0C0}" name="Tableau29" displayName="Tableau29" ref="C45:R53" totalsRowShown="0" headerRowDxfId="144" dataDxfId="143">
  <autoFilter ref="C45:R53" xr:uid="{C6A311CC-9CEA-485A-9C7A-A39C00F4A0C0}"/>
  <tableColumns count="16">
    <tableColumn id="1" xr3:uid="{1A312A9F-B2AA-4B34-99F5-623251175E68}" name="Nom" dataDxfId="142"/>
    <tableColumn id="2" xr3:uid="{E1D95E11-9C58-48EC-9F1E-3695AC38D5F2}" name="Source" dataDxfId="141"/>
    <tableColumn id="3" xr3:uid="{C0FC5728-84D0-4467-A825-C632D0A97A42}" name="Type" dataDxfId="140"/>
    <tableColumn id="4" xr3:uid="{34ECE3AF-0989-475F-89C9-EDE067FE3F94}" name="[Serveurs] Émissions liées à la fabrication (kgCO₂e/unité)"/>
    <tableColumn id="5" xr3:uid="{3062035A-4496-47F8-8341-2D2011F6F47B}" name=" [Serveurs] RAM (GB)" dataDxfId="139"/>
    <tableColumn id="6" xr3:uid="{1436A480-6160-417C-9E2A-3F9F6E97EBA2}" name="[Serveurs] Émissions de fabrication : facteur RAM (kgCO₂e/Go)"/>
    <tableColumn id="7" xr3:uid="{640028C9-5EDF-45AD-928B-E2D5103719E8}" name=" [Serveurs] CPU (unité)" dataDxfId="138"/>
    <tableColumn id="8" xr3:uid="{572D7C6A-E554-4339-815D-7212E43909F7}" name="[Serveurs] Émissions en amont : Facteur CPU Boavizta (kgCO2e/unités CPU)"/>
    <tableColumn id="9" xr3:uid="{409E07E5-E31D-4EAF-9D46-7D6EE7E2E6E6}" name="Fabrication + utilisation (kCO2e)" dataDxfId="137"/>
    <tableColumn id="10" xr3:uid="{56790E27-7467-4705-9743-FA571FF2BF39}" name="Consommation (kWh/an)"/>
    <tableColumn id="11" xr3:uid="{2C5592FE-433D-4014-9373-8F620F794726}" name="Consommation : facteur CPU (kWh/an/unité)"/>
    <tableColumn id="16" xr3:uid="{E3D0E4F0-6FEB-46DC-B495-70B6D9EA1467}" name="Fabrication d'un disque dur/ HDD (kgCO₂e)"/>
    <tableColumn id="17" xr3:uid="{7D3FC0D3-E02F-4E07-A041-7A00E053B5B5}" name="Fabrication d'un SSD (kgCO2e/GB)"/>
    <tableColumn id="12" xr3:uid="{9CD424AD-A8DD-4D53-AFD6-D26381356391}" name="Description" dataDxfId="136"/>
    <tableColumn id="14" xr3:uid="{EBFE8741-40A9-4E69-8435-EF4DF231E669}" name="Lien 1"/>
    <tableColumn id="15" xr3:uid="{421EA108-68A7-417E-8CA9-74DEA00D399E}" name="Lien 2" dataDxfId="135"/>
  </tableColumns>
  <tableStyleInfo name="TableStyleLight8"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B789519-47F5-465C-A11E-64239E44227B}" name="Tableau30" displayName="Tableau30" ref="C67:K69" totalsRowShown="0" headerRowDxfId="134" tableBorderDxfId="133">
  <autoFilter ref="C67:K69" xr:uid="{AB789519-47F5-465C-A11E-64239E44227B}"/>
  <tableColumns count="9">
    <tableColumn id="1" xr3:uid="{FAC697C6-4702-4045-9799-10B2C885CB13}" name="Nom"/>
    <tableColumn id="2" xr3:uid="{BF5897A3-39D9-4825-B740-7DDEB021EB7B}" name="Source"/>
    <tableColumn id="3" xr3:uid="{3D8951E2-B08B-4053-A38E-A56CD4C89706}" name="Paramètre"/>
    <tableColumn id="4" xr3:uid="{7F3A6223-3766-4619-92F9-4C7B0F90E997}" name="Fabrication + utilisation (kCO2e)"/>
    <tableColumn id="5" xr3:uid="{50C2F717-44C1-4002-B131-BC18BEA737DA}" name="Fabrication (kCO2e)"/>
    <tableColumn id="6" xr3:uid="{6ECAEE65-DB2B-497E-BF65-7EFCC79A10D7}" name="Consommation (kWh/an)"/>
    <tableColumn id="7" xr3:uid="{8DAC25B8-46BB-4B89-9AC0-39D392172D9F}" name="Description"/>
    <tableColumn id="9" xr3:uid="{275173D9-CB25-4C0C-88AF-11041B630C78}" name="Lien 1"/>
    <tableColumn id="10" xr3:uid="{F8B13C5A-14ED-44C8-A3A4-B6F395A39666}" name="Lien 2"/>
  </tableColumns>
  <tableStyleInfo name="TableStyleLight8"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AC0CD97-63B8-459D-B550-F29E2885286E}" name="Tableau31" displayName="Tableau31" ref="C73:N75" totalsRowShown="0" headerRowDxfId="132">
  <autoFilter ref="C73:N75" xr:uid="{AAC0CD97-63B8-459D-B550-F29E2885286E}"/>
  <tableColumns count="12">
    <tableColumn id="1" xr3:uid="{72EB6FC5-A4B0-4E7D-9151-0A7D4DFB99A5}" name="Nom"/>
    <tableColumn id="2" xr3:uid="{9CD08847-F093-4D3E-AB2D-85C942846733}" name="Source"/>
    <tableColumn id="3" xr3:uid="{C2B3C05E-986B-495D-AD26-9E056DE58CCB}" name="Paramètre"/>
    <tableColumn id="4" xr3:uid="{54204D48-2B42-40F3-B3E9-5DFB20A1A112}" name="Fabrication + utilisation (kCO2e)"/>
    <tableColumn id="5" xr3:uid="{21B5566B-FABF-4CF6-BEA2-13F68E181A59}" name="Fabrication (kCO2e)"/>
    <tableColumn id="6" xr3:uid="{CC8219C1-F207-4F67-A499-16A0202B7170}" name="Consommation (kWh/an)"/>
    <tableColumn id="7" xr3:uid="{D7E04665-3FAD-41EA-890C-9AD5E3B48D9F}" name=" [Serveurs] Émissions en amont : facteur de base (kgCO2e/unité)"/>
    <tableColumn id="8" xr3:uid="{B2EEB030-1816-4BB4-9DFE-1B21F7556362}" name="[Serveurs] Émissions en amont : Facteur CPU (kgCO2e/unités CPU)"/>
    <tableColumn id="9" xr3:uid="{F6F7818F-6A39-4B9E-9DC4-2293F7EC3CC7}" name="[Serveurs] Émissions en amont : Facteur RAM (kgCO2e/GB)"/>
    <tableColumn id="10" xr3:uid="{4D10B274-EF42-45A1-973E-CAD4D5644841}" name="Description"/>
    <tableColumn id="12" xr3:uid="{159ACFFE-F8F5-4DFB-A92B-0F6C8C1A6DBB}" name="Lien 1"/>
    <tableColumn id="13" xr3:uid="{0E47A424-4319-43D1-A9CA-9FC878DD69C0}" name="Lien 2"/>
  </tableColumns>
  <tableStyleInfo name="TableStyleLight8"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532475-59E1-48D7-A51D-CFA03A04BD6F}" name="Tableau32" displayName="Tableau32" ref="C78:N80" totalsRowShown="0" headerRowDxfId="131">
  <autoFilter ref="C78:N80" xr:uid="{14532475-59E1-48D7-A51D-CFA03A04BD6F}"/>
  <tableColumns count="12">
    <tableColumn id="1" xr3:uid="{B9B79979-2863-46B8-BC61-AEB2E5FABCD0}" name="Nom">
      <calculatedColumnFormula>IF('3.2 Facteurs d''émission'!$D79&lt;&gt;"",""&amp;$C$72&amp;IF('3.2 Facteurs d''émission'!$E79&lt;&gt;"",""&amp;" - "&amp;'3.2 Facteurs d''émission'!$E79,"")&amp;" - "&amp;'3.2 Facteurs d''émission'!$D79,"")</calculatedColumnFormula>
    </tableColumn>
    <tableColumn id="2" xr3:uid="{04D25B9C-4022-4DAC-9963-14EED2AF609C}" name="Source"/>
    <tableColumn id="3" xr3:uid="{7E320BC3-E762-41D7-AEC4-846159594FD9}" name="Type"/>
    <tableColumn id="4" xr3:uid="{BBBEB35A-BE1F-467B-925C-149C0B770295}" name="Fabrication + utilisation (kCO2e)"/>
    <tableColumn id="5" xr3:uid="{7C41051E-122B-4AD2-91AB-B241D3216760}" name="Fabrication (kCO2e)"/>
    <tableColumn id="6" xr3:uid="{A176A3B8-7191-4830-9CA6-95965E319C4D}" name="Consommation (kWh/an)"/>
    <tableColumn id="7" xr3:uid="{A9E67231-CFFB-4D9D-87F5-F8BB92274E67}" name=" [Serveurs] Émissions en amont : facteur de base (kgCO2e/unité)"/>
    <tableColumn id="8" xr3:uid="{66B0E63D-1FBE-4013-88FA-DBDFD65054CF}" name="[Serveurs] Émissions en amont : Facteur CPU (kgCO2e/unités CPU)"/>
    <tableColumn id="9" xr3:uid="{0FA6C630-E9A2-4407-961E-672D4EDE43B9}" name="[Serveurs] Émissions en amont : Facteur RAM (kgCO2e/GB)"/>
    <tableColumn id="10" xr3:uid="{8501C8A1-D61E-4F48-82D2-F6F496FD74DE}" name="Description"/>
    <tableColumn id="12" xr3:uid="{7BDFBCBB-BB41-469A-8C2C-15CB7A55231D}" name="Lien 1"/>
    <tableColumn id="13" xr3:uid="{6CD64DCA-871A-4E4E-8770-0D0E312C315B}" name="Lien 2"/>
  </tableColumns>
  <tableStyleInfo name="TableStyleLight8"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09D7CCA-3426-4D9C-9DB9-36140C2CD32F}" name="Tableau33" displayName="Tableau33" ref="C88:K90" totalsRowShown="0" headerRowDxfId="130">
  <autoFilter ref="C88:K90" xr:uid="{709D7CCA-3426-4D9C-9DB9-36140C2CD32F}"/>
  <tableColumns count="9">
    <tableColumn id="1" xr3:uid="{C0A1671B-611A-437E-8D98-D7BF641595CC}" name="Nom">
      <calculatedColumnFormula>IF('3.2 Facteurs d''émission'!$D89&lt;&gt;"",""&amp;$C$87&amp;IF('3.2 Facteurs d''émission'!$E89&lt;&gt;"",""&amp;" - "&amp;'3.2 Facteurs d''émission'!$E89&amp;" - "&amp;'3.2 Facteurs d''émission'!$F89,"")&amp;" - "&amp;'3.2 Facteurs d''émission'!$D89,"")</calculatedColumnFormula>
    </tableColumn>
    <tableColumn id="2" xr3:uid="{FDC9E884-C866-4F99-8311-37074C580012}" name="Source"/>
    <tableColumn id="3" xr3:uid="{1E849187-BB13-4BDB-A186-8AEB539881F6}" name="Service"/>
    <tableColumn id="4" xr3:uid="{C1524536-BC6C-415D-BE4E-BF86AFCF1397}" name="Unité"/>
    <tableColumn id="5" xr3:uid="{2A14A127-BBED-4210-87EA-F8D9DA0A6958}" name="Émissions"/>
    <tableColumn id="6" xr3:uid="{41E0E5E3-0D11-4997-94DF-E08E4986851D}" name="Colonne1"/>
    <tableColumn id="7" xr3:uid="{F06C5838-53B3-47CE-B851-406E8382F772}" name="Colonne2"/>
    <tableColumn id="8" xr3:uid="{55C415C9-5598-4A70-BFB3-94E55D14DB97}" name="Description / Commentaires2"/>
    <tableColumn id="10" xr3:uid="{2F2908F5-2DC4-4117-B84F-0BABB6CD3D60}" name="Lien 1"/>
  </tableColumns>
  <tableStyleInfo name="TableStyleLight8"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DD95EF3-6418-490E-8A48-1E02F3B2CECD}" name="Tableau34" displayName="Tableau34" ref="C95:K97" totalsRowShown="0" headerRowDxfId="129">
  <autoFilter ref="C95:K97" xr:uid="{CDD95EF3-6418-490E-8A48-1E02F3B2CECD}"/>
  <tableColumns count="9">
    <tableColumn id="1" xr3:uid="{83234771-D90D-457F-AA79-8CD4B86F73E0}" name="Nom"/>
    <tableColumn id="2" xr3:uid="{1FA036B9-5E84-48F4-967D-F9D3FB54DB04}" name="Source"/>
    <tableColumn id="3" xr3:uid="{425F1B7D-CDCE-4500-85A5-E522CF33ABD0}" name="Paramètre"/>
    <tableColumn id="4" xr3:uid="{DC17ED33-9DEF-431C-81A3-11218F58FB78}" name="Unité"/>
    <tableColumn id="5" xr3:uid="{80B2C507-0BE8-434D-B8D4-731269DA874C}" name="Émissions"/>
    <tableColumn id="6" xr3:uid="{27801178-CC9B-48A6-AFCD-F19327A5D2E9}" name="Colonne1"/>
    <tableColumn id="7" xr3:uid="{C17F7803-A04C-4839-8093-55B75D6C1857}" name="Colonne2"/>
    <tableColumn id="8" xr3:uid="{28135A8A-B7B5-4FB8-AD19-DEEC0BB8C101}" name="Description / Commentaires2"/>
    <tableColumn id="10" xr3:uid="{DEA70234-77FC-4088-8E80-61EE5E387594}" name="Lien 1"/>
  </tableColumns>
  <tableStyleInfo name="TableStyleLight8"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22CE198-7D26-451A-993B-EF439D5FD824}" name="Tableau36" displayName="Tableau36" ref="C106:K115" totalsRowShown="0" headerRowDxfId="128">
  <autoFilter ref="C106:K115" xr:uid="{B22CE198-7D26-451A-993B-EF439D5FD824}"/>
  <tableColumns count="9">
    <tableColumn id="1" xr3:uid="{D534E74A-CB48-4A49-93A7-33B4814ACF49}" name="Nom"/>
    <tableColumn id="2" xr3:uid="{6899E0B1-83B2-4067-8E87-EEDB21F7B595}" name="Source" dataDxfId="127"/>
    <tableColumn id="3" xr3:uid="{DA75E90F-17E9-4484-98D8-F3B212AE4292}" name="Paramètre" dataDxfId="126"/>
    <tableColumn id="4" xr3:uid="{F7BBCD84-7E15-4E08-ADFF-C3200975F037}" name="Unité" dataDxfId="125"/>
    <tableColumn id="5" xr3:uid="{F5F2C954-93D7-47D1-8484-FAA097E1C6B6}" name="Émissions" dataDxfId="124"/>
    <tableColumn id="6" xr3:uid="{04F8AB99-9656-434B-A655-52C354C11801}" name="Colonne1" dataDxfId="123"/>
    <tableColumn id="7" xr3:uid="{E92979C1-B122-4CA1-9C25-97FE46A96E8F}" name="Colonne2" dataDxfId="122"/>
    <tableColumn id="8" xr3:uid="{3D49DDB8-432D-435E-86EC-C64C84EAF068}" name="Description / Commentaires2" dataDxfId="121"/>
    <tableColumn id="10" xr3:uid="{3AC943B7-B57F-4E74-82F9-FA5FFFB63898}" name="Lien 1" dataDxfId="120"/>
  </tableColumns>
  <tableStyleInfo name="TableStyleLight8"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FC4C87C-E3D6-4E41-9C57-8DE9E0A03FA0}" name="Tableau3613" displayName="Tableau3613" ref="C124:K137" totalsRowShown="0" headerRowDxfId="119">
  <autoFilter ref="C124:K137" xr:uid="{1FC4C87C-E3D6-4E41-9C57-8DE9E0A03FA0}"/>
  <tableColumns count="9">
    <tableColumn id="1" xr3:uid="{3872D1A6-F92A-44C3-B7D8-70501D92A5A7}" name="Nom"/>
    <tableColumn id="2" xr3:uid="{579A509E-A5D5-4B94-8388-D56C7B6AD62B}" name="Source" dataDxfId="118"/>
    <tableColumn id="3" xr3:uid="{D01792E1-110A-4D3A-A169-40E5880D4FA4}" name="Description" dataDxfId="117"/>
    <tableColumn id="4" xr3:uid="{8188834A-B381-4108-B398-7EDE1D5EC463}" name="Durée de vie moyenne (années)" dataDxfId="116"/>
    <tableColumn id="5" xr3:uid="{1CA18F59-2586-498F-AB59-D9CAD998B613}" name="Fabrication (kCO2e)" dataDxfId="115"/>
    <tableColumn id="6" xr3:uid="{5B73F06D-5CCA-4E3D-8E24-14CFAA601F19}" name="Consommation (kWh/an)" dataDxfId="114"/>
    <tableColumn id="7" xr3:uid="{F43ABEA7-222D-4412-8548-042AB1E3292A}" name="Colonne2" dataDxfId="113"/>
    <tableColumn id="8" xr3:uid="{697374AA-3E22-4EB5-91D8-98F0BC93AC49}" name="Description / Commentaires2" dataDxfId="112"/>
    <tableColumn id="10" xr3:uid="{0E2DC0F7-EA13-495F-B698-87AF8D2E632E}" name="Lien" dataDxfId="111"/>
  </tableColumns>
  <tableStyleInfo name="TableStyleLight8"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1215D5D-4680-49F1-8861-047E08672C75}" name="Tableau3024" displayName="Tableau3024" ref="C62:K64" totalsRowShown="0" headerRowDxfId="110" tableBorderDxfId="109">
  <autoFilter ref="C62:K64" xr:uid="{01215D5D-4680-49F1-8861-047E08672C75}"/>
  <tableColumns count="9">
    <tableColumn id="1" xr3:uid="{399DA23F-1741-4A24-9D47-3655783EB044}" name="Nom">
      <calculatedColumnFormula>_xlfn.CONCAT($C$61," - ",Tableau3024[[#This Row],[Source]]," - ",Tableau3024[[#This Row],[Paramètre]])</calculatedColumnFormula>
    </tableColumn>
    <tableColumn id="2" xr3:uid="{054AB319-D4A2-4896-A99F-1481A255A55B}" name="Source"/>
    <tableColumn id="3" xr3:uid="{FB88F9D7-0F5D-4F96-A509-B409CDD275FF}" name="Paramètre"/>
    <tableColumn id="4" xr3:uid="{12BBDE7D-F274-4331-AA7B-04821D04DD9A}" name="Fabrication + utilisation (kCO2e)"/>
    <tableColumn id="5" xr3:uid="{1581DA59-97D5-4F4E-9581-605D07BD5470}" name="Fabrication (kCO2e)"/>
    <tableColumn id="6" xr3:uid="{04AF8EFF-D52B-4619-B12F-4EDD799166C8}" name="Consommation (kWh/an)"/>
    <tableColumn id="7" xr3:uid="{9159F8CC-9035-494C-8C11-AC3846D44A7F}" name="Description" dataDxfId="108"/>
    <tableColumn id="9" xr3:uid="{F0FF5B44-DF39-44FA-B966-3163E4AC31F1}" name="Lien 1"/>
    <tableColumn id="10" xr3:uid="{D362C9CB-5657-46F8-89A9-917B115F0910}" name="Lien 2"/>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D056E13-1E48-45A4-9BDC-9ABC39D23DC6}" name="Appareils_Ecrans" displayName="Appareils_Ecrans" ref="B29:K30" totalsRowShown="0" headerRowDxfId="670" dataDxfId="668" headerRowBorderDxfId="669" tableBorderDxfId="667">
  <autoFilter ref="B29:K30" xr:uid="{DD056E13-1E48-45A4-9BDC-9ABC39D23DC6}"/>
  <tableColumns count="10">
    <tableColumn id="3" xr3:uid="{78CF968C-9682-4581-B75E-022A69E2F4B5}" name="Champ d'application" dataDxfId="666"/>
    <tableColumn id="4" xr3:uid="{63A54751-F348-4860-83DD-68A9BB3ACC1D}" name="Quantité " dataDxfId="665"/>
    <tableColumn id="5" xr3:uid="{E25B78AD-2C9A-4738-9A31-78618715F0D9}" name="Durée de vie" dataDxfId="664"/>
    <tableColumn id="2" xr3:uid="{0E01270E-3E4A-40E1-A5F9-6ACC537304DD}" name="Mix électrique (kgCO2e/kWh)" dataDxfId="663">
      <calculatedColumnFormula>CI_Cyber_Staff</calculatedColumnFormula>
    </tableColumn>
    <tableColumn id="8" xr3:uid="{2E6887BE-ED64-4E45-B07B-C5ED55B80731}" name="Facteur d'émission" dataDxfId="662">
      <calculatedColumnFormula array="1">'3.2 Facteurs d''émission'!FE_Ecrans_bureautiques</calculatedColumnFormula>
    </tableColumn>
    <tableColumn id="9" xr3:uid="{ECE1E058-CD94-4D24-AE0C-DF9926D96E3D}" name="Consommation électrique (kWh/an/unité)" dataDxfId="661">
      <calculatedColumnFormula>VLOOKUP(Appareils_Ecrans[[#This Row],[Facteur d''émission]],Tableau27[[Nom]:[Consommation (kWh/an)]],6)</calculatedColumnFormula>
    </tableColumn>
    <tableColumn id="10" xr3:uid="{6D580571-2759-4358-A821-F0FCCAB52A14}" name="Fabrication (kgCO2e/unité)" dataDxfId="660">
      <calculatedColumnFormula>VLOOKUP(Appareils_Ecrans[[#This Row],[Facteur d''émission]],Tableau27[[Nom]:[Consommation (kWh/an)]],5)</calculatedColumnFormula>
    </tableColumn>
    <tableColumn id="11" xr3:uid="{129C5B6C-0AC4-4245-84A8-E98768D3D86F}" name="Champ d'application 2 (kgC02e)" dataDxfId="659">
      <calculatedColumnFormula>Appareils_Ecrans[[#This Row],[Consommation électrique (kWh/an/unité)]]*Appareils_Ecrans[[#This Row],[Mix électrique (kgCO2e/kWh)]]*Appareils_Ecrans[[#This Row],[Quantité ]]</calculatedColumnFormula>
    </tableColumn>
    <tableColumn id="13" xr3:uid="{002BCFA6-43CC-472A-BE10-E2AB9C0756DB}" name="Champ d'application 3 (kgC02e)" dataDxfId="658">
      <calculatedColumnFormula>Appareils_Ecrans[[#This Row],[Fabrication (kgCO2e/unité)]]*Appareils_Ecrans[[#This Row],[Quantité ]]/Appareils_Ecrans[[#This Row],[Durée de vie]]</calculatedColumnFormula>
    </tableColumn>
    <tableColumn id="14" xr3:uid="{AB1DC54F-A4FF-4073-9CEC-F01AC5A758C7}" name="Émissions totales (kgC02e)" dataDxfId="657">
      <calculatedColumnFormula>Appareils_Ecrans[[#This Row],[Champ d''application 2 (kgC02e)]]+Appareils_Ecrans[[#This Row],[Champ d''application 3 (kgC02e)]]</calculatedColumnFormula>
    </tableColumn>
  </tableColumns>
  <tableStyleInfo name="TableStyleLight8"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AAC0D33-BD78-401F-A56D-3A6BA355EBEF}" name="Tableau302427" displayName="Tableau302427" ref="C57:K59" totalsRowShown="0" headerRowDxfId="107" tableBorderDxfId="106">
  <autoFilter ref="C57:K59" xr:uid="{9AAC0D33-BD78-401F-A56D-3A6BA355EBEF}"/>
  <tableColumns count="9">
    <tableColumn id="1" xr3:uid="{3A9B5679-2C40-42C6-BE38-C5E06AC39F37}" name="Nom">
      <calculatedColumnFormula>_xlfn.CONCAT($C$56," - ", D58," - ",E58)</calculatedColumnFormula>
    </tableColumn>
    <tableColumn id="2" xr3:uid="{6481F85B-AA7E-4354-89EA-0C7B154E3F53}" name="Source"/>
    <tableColumn id="3" xr3:uid="{7E161C3E-B409-4C75-9B0E-A6BC53275C91}" name="Paramètre"/>
    <tableColumn id="4" xr3:uid="{E7ED5E8F-E164-4796-B6B1-8D98044AE5F5}" name="Fabrication + utilisation (kCO2e)"/>
    <tableColumn id="5" xr3:uid="{63348453-D345-446A-BF5C-97760587DEFA}" name="Fabrication (kCO2e)"/>
    <tableColumn id="6" xr3:uid="{E67EA1CB-53D4-4B93-81BA-1FD3DFB3F60E}" name="Consommation (kWh/an)"/>
    <tableColumn id="7" xr3:uid="{3A8869B1-48A6-49FC-81B9-4FE87A700B4C}" name="Description" dataDxfId="105"/>
    <tableColumn id="9" xr3:uid="{3709100C-3C8D-4BB6-8ED8-7E5B5B19FB32}" name="Lien 1"/>
    <tableColumn id="10" xr3:uid="{DA043492-DC25-4E92-BCB8-6338A49CC9E5}" name="Lien 2"/>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71A2E0-B96D-4AAB-9F00-D28DA1F37BFB}" name="Tableau11" displayName="Tableau11" ref="B11:D18" totalsRowShown="0" headerRowDxfId="104" dataDxfId="102" headerRowBorderDxfId="103" tableBorderDxfId="101" totalsRowBorderDxfId="100">
  <autoFilter ref="B11:D18" xr:uid="{A071A2E0-B96D-4AAB-9F00-D28DA1F37BFB}"/>
  <tableColumns count="3">
    <tableColumn id="1" xr3:uid="{032EB42A-BB3C-4007-9574-92F26BA4FD89}" name="#" dataDxfId="99"/>
    <tableColumn id="2" xr3:uid="{AB99D102-45DB-4206-8447-94BE8B0CCB6F}" name="Hypothèse" dataDxfId="98"/>
    <tableColumn id="3" xr3:uid="{9C293775-B1A1-47B7-8CBE-513BF0C997E6}" name="Valeur" dataDxfId="97"/>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CE1EAD-2F75-43B5-9AD9-1A41BE1FE012}" name="Tableau_de_bord_par_contrôle" displayName="Tableau_de_bord_par_contrôle" ref="A20:S90" totalsRowShown="0" headerRowDxfId="96" dataDxfId="94" headerRowBorderDxfId="95" tableBorderDxfId="93" totalsRowBorderDxfId="92">
  <autoFilter ref="A20:S90" xr:uid="{33BF6864-3294-4C57-8B3A-470CCE74CDD2}"/>
  <tableColumns count="19">
    <tableColumn id="6" xr3:uid="{7614788F-EEF2-4A0D-B3D0-AC2FD88AE641}" name="Sujet NIST" dataDxfId="91"/>
    <tableColumn id="1" xr3:uid="{825638DA-69E8-4EB1-B511-9E98BDFA882C}" name="Contrôle NIST" dataDxfId="90"/>
    <tableColumn id="3" xr3:uid="{DC5DD347-B3D9-40D9-B3A3-58484E87DC2B}" name="Exigences simplifiées en matière d'émissions" dataDxfId="89"/>
    <tableColumn id="4" xr3:uid="{56B1175A-953F-4CA5-B67D-7E83365EC8E1}" name="Émissions annuelles totales de CO2e(kgCO2e)" dataDxfId="88">
      <calculatedColumnFormula>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calculatedColumnFormula>
    </tableColumn>
    <tableColumn id="5" xr3:uid="{F0187BBF-B816-4201-91A1-1F3123E95C11}" name="Émissions annuelles totales de CO2e (%)" dataDxfId="87">
      <calculatedColumnFormula>Tableau_de_bord_par_contrôle[[#This Row],[Émissions annuelles totales de CO2e(kgCO2e)]]/(1000*Total)</calculatedColumnFormula>
    </tableColumn>
    <tableColumn id="2" xr3:uid="{8318891D-CCD5-4E4A-80A0-D1B0BAB9846B}" name="Émissions des appareils Cyber kgCO2e" dataDxfId="86">
      <calculatedColumnFormula xml:space="preserve">
SUMIF(Cartographie_des_appareils_poste_de_travail_ordinateur_portable[Contrôle NIST],B21,Cartographie_des_appareils_poste_de_travail_ordinateur_portable[Émissions totales (kgC02e)])
+SUMIF(Cartographie_des_appareils_poste_de_travail_ordinateur_de_bureau[Contrôle NIST],B21,Cartographie_des_appareils_poste_de_travail_ordinateur_de_bureau[Émissions totales (kgC02e)])
+SUMIF(Cartographie_des_appareils_écrans[Contrôle NIST],B21,Cartographie_des_appareils_écrans[Émissions totales (kgC02e)])+SUMIF(Cartographie_des_appareils_Smartphones[Contrôle NIST],B21,Cartographie_des_appareils_Smartphones[Émissions totales (kgC02e)])</calculatedColumnFormula>
    </tableColumn>
    <tableColumn id="7" xr3:uid="{0F7F2933-835B-4964-8A91-BF6B90770E56}" name="Détails des appareils Cyber" dataDxfId="85">
      <calculatedColumnFormula array="1">_xlfn.CONCAT(
IFERROR(_xlfn.CONCAT(_xlfn._xlws.FILTER(Cartographie_des_appareils_poste_de_travail_ordinateur_portable[Champ d''application],Cartographie_des_appareils_poste_de_travail_ordinateur_portable[Contrôle NIST]=B21)&amp;CHAR(10)),""),
IFERROR(_xlfn.CONCAT(_xlfn._xlws.FILTER(#REF!,#REF!=B21)&amp;CHAR(10)),""),
IFERROR(_xlfn.CONCAT(_xlfn._xlws.FILTER(Cartographie_des_appareils_écrans[Champ d''application],Cartographie_des_appareils_écrans[Contrôle NIST]=B21)&amp;CHAR(10)),""),
IFERROR(_xlfn.CONCAT(_xlfn._xlws.FILTER(Cartographie_des_appareils_Smartphones[Champ d''application],Cartographie_des_appareils_Smartphones[Contrôle NIST]=B21)&amp;CHAR(10)),"")
)</calculatedColumnFormula>
    </tableColumn>
    <tableColumn id="8" xr3:uid="{A99C73B6-A375-4874-A09B-77CBF5E6218A}" name="Émissions du réseau  kgCO2e" dataDxfId="84">
      <calculatedColumnFormula>SUMIF(Cartographie_des_appareils[Contrôle NIST],B21,Cartographie_des_appareils[Émissions totales (kgC02e)])</calculatedColumnFormula>
    </tableColumn>
    <tableColumn id="9" xr3:uid="{6D3EA02D-1A19-409D-A64D-F736857272FF}" name="Détail du réseau" dataDxfId="83">
      <calculatedColumnFormula array="1">IFERROR(_xlfn.CONCAT(_xlfn._xlws.FILTER(Cartographie_des_appareils[Champ d''application],Cartographie_des_appareils[Contrôle NIST]=B21)&amp;CHAR(10)),"")</calculatedColumnFormula>
    </tableColumn>
    <tableColumn id="10" xr3:uid="{51D373FB-5EC0-48FB-BEEF-A4ABBE682CA6}" name="Émissions des serveurs de sauvegarde  kgCO2e" dataDxfId="82">
      <calculatedColumnFormula>SUMIF(Cartographie_des_serveurs_de_sauvegarde[Contrôle NIST],B21,Cartographie_des_serveurs_de_sauvegarde[Émissions totales (kgC02e)])</calculatedColumnFormula>
    </tableColumn>
    <tableColumn id="11" xr3:uid="{D70D01EC-3F7D-4378-8E02-3020DB97D471}" name="Détails des serveurs de sauvegarde" dataDxfId="81">
      <calculatedColumnFormula array="1">_xlfn.CONCAT(
IFERROR(_xlfn.CONCAT(_xlfn._xlws.FILTER(Cartographie_non_cyber_serveurs[Champ d''application],Cartographie_non_cyber_serveurs[Contrôle NIST]=B21)&amp;CHAR(10)),""),
IFERROR(_xlfn.CONCAT(_xlfn._xlws.FILTER(Cartographie_des_serveurs_de_sauvegarde[Champ d''application],Cartographie_des_serveurs_de_sauvegarde[Contrôle NIST]=B21)&amp;CHAR(10)),""),
)</calculatedColumnFormula>
    </tableColumn>
    <tableColumn id="12" xr3:uid="{EC7AC699-240C-46A7-B3BF-50D2804553CB}" name="Émissions de l'Infra des logiciels Cyber kgCO2e" dataDxfId="80">
      <calculatedColumnFormula>SUMIF(Cartographie_Solutions_Sur_Site[Contrôle NIST],B21,Cartographie_Solutions_Sur_Site[Émissions totales de carbone du NIST (kgCO2e)])
+SUMIF(Cartographie_Solutions_sur_Cloud[Contrôle NIST],B21,Cartographie_Solutions_sur_Cloud[Émissions totales de carbone du NIST (kgCO2e)])</calculatedColumnFormula>
    </tableColumn>
    <tableColumn id="13" xr3:uid="{89D92575-B9B3-4E79-B69F-6228A71B11A7}" name="Détail de l'Infra des logiciels Cyber" dataDxfId="79">
      <calculatedColumnFormula array="1">_xlfn.CONCAT(
IFERROR(_xlfn.CONCAT(_xlfn._xlws.FILTER(Cartographie_Solutions_Sur_Site[Nom de l''application],#REF!=B21)&amp;CHAR(10)),""),
IFERROR(_xlfn.CONCAT(_xlfn._xlws.FILTER(Cartographie_Solutions_sur_Cloud[Nom de l''application],#REF!=B21)&amp;CHAR(10)),"")
)</calculatedColumnFormula>
    </tableColumn>
    <tableColumn id="14" xr3:uid="{187FBB1A-773A-4378-BE67-7C25D95AC7A4}" name="Émissions des services externes kgCO2e" dataDxfId="78">
      <calculatedColumnFormula>SUMIF(Cartographie_des_TM_externes[Contrôle NIST],B21,Cartographie_des_TM_externes[Émissions de carbone du NIST (kgCO2e)])
+SUMIF(Cartographie_des_externes_prix_fixes[Contrôle NIST],B21,Cartographie_des_externes_prix_fixes[Émissions de carbone du NIST (kgCO2e)])</calculatedColumnFormula>
    </tableColumn>
    <tableColumn id="15" xr3:uid="{64AE3A6C-8B17-4BB6-AB46-958B7740E91F}" name="Détails des services externes" dataDxfId="77">
      <calculatedColumnFormula array="1">_xlfn.CONCAT(
IFERROR(_xlfn.CONCAT(_xlfn._xlws.FILTER(Cartographie_des_TM_externes[Nom du service],#REF!=B21)&amp;CHAR(10)),""),
IFERROR(_xlfn.CONCAT(_xlfn._xlws.FILTER(Cartographie_des_externes_prix_fixes[Nom du service],#REF!=B21)&amp;CHAR(10)),""))</calculatedColumnFormula>
    </tableColumn>
    <tableColumn id="16" xr3:uid="{901C5433-AC78-4498-9F2D-652AC20A091A}" name="Émissions liées aux voyages kgCO2e" dataDxfId="76">
      <calculatedColumnFormula>SUMIF(Cartographie_voyage[Contrôle NIST],B21,Cartographie_voyage[Émissions totales (kgC02e)])</calculatedColumnFormula>
    </tableColumn>
    <tableColumn id="17" xr3:uid="{E176BE16-6790-4F43-8CDA-5926FB9F643E}" name="Détail des voyages" dataDxfId="75">
      <calculatedColumnFormula array="1">IFERROR(_xlfn.CONCAT(_xlfn._xlws.FILTER(Cartographie_voyage[Type de transport],Cartographie_voyage[Contrôle NIST]=B21)&amp;CHAR(10)),"")</calculatedColumnFormula>
    </tableColumn>
    <tableColumn id="18" xr3:uid="{DC867EFC-E146-4639-8D64-314A690B98FF}" name="Émissions des équipements Non cyber kgCO2e2" dataDxfId="74">
      <calculatedColumnFormula>SUMIF(Cartographie_poste_de_travail_non_cyber_ordinateur_portable[Contrôle NIST],B21,Cartographie_poste_de_travail_non_cyber_ordinateur_portable[Émissions totales (kgC02e)])
+SUMIF(Cartographie_poste_de_travail_non_cyber_ordinateur_de_bureau[Contrôle NIST],B21,Cartographie_poste_de_travail_non_cyber_ordinateur_de_bureau[Émissions totales (kgC02e)])
+SUMIF(Cartographie_non_cyber_VDI[Contrôle NIST],B21,Cartographie_non_cyber_VDI[Émissions totales (kgC02e)])
+SUMIF(Cartographie_non_cyber_serveurs[Contrôle NIST],B21,Cartographie_non_cyber_serveurs[Émissions totales (kgC02e)])</calculatedColumnFormula>
    </tableColumn>
    <tableColumn id="19" xr3:uid="{E03651D1-5B4B-40EB-94C6-5E399B598AC7}" name="Détail des équipements Non-Cyber" dataDxfId="73">
      <calculatedColumnFormula array="1">_xlfn.CONCAT(
IFERROR(_xlfn.CONCAT(_xlfn._xlws.FILTER(Cartographie_poste_de_travail_non_cyber_ordinateur_portable[Champ d''application],Cartographie_poste_de_travail_non_cyber_ordinateur_portable[Contrôle NIST]=B21)&amp;CHAR(10)),""),
IFERROR(_xlfn.CONCAT(_xlfn._xlws.FILTER(Cartographie_poste_de_travail_non_cyber_ordinateur_de_bureau[Champ d''application],Cartographie_poste_de_travail_non_cyber_ordinateur_de_bureau[Contrôle NIST]=B21)&amp;CHAR(10)),""),
IFERROR(_xlfn.CONCAT(_xlfn._xlws.FILTER(Cartographie_non_cyber_VDI[Champ d''application],Cartographie_non_cyber_VDI[Contrôle NIST]=B21)&amp;CHAR(10)),""),
IFERROR(_xlfn.CONCAT(_xlfn._xlws.FILTER(Cartographie_non_cyber_serveurs[Champ d''application],Cartographie_non_cyber_serveurs[Contrôle NIST]=B21)&amp;CHAR(10)),"")
)</calculatedColumnFormula>
    </tableColumn>
  </tableColumns>
  <tableStyleInfo name="TableStyleLight8"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6398067F-6E49-4581-9C49-1ED5DE03E49A}" name="Tableau85" displayName="Tableau85" ref="A5:C19" totalsRowShown="0" headerRowDxfId="72" dataDxfId="70" headerRowBorderDxfId="71">
  <autoFilter ref="A5:C19" xr:uid="{6398067F-6E49-4581-9C49-1ED5DE03E49A}"/>
  <tableColumns count="3">
    <tableColumn id="1" xr3:uid="{E0E8C441-2E09-4E89-BB86-AC8FDCB066BF}" name="Sujet" dataDxfId="69"/>
    <tableColumn id="2" xr3:uid="{351536A3-AD77-4586-A379-75CEFAF859A4}" name="tCO2e" dataDxfId="68">
      <calculatedColumnFormula>(_xlfn.XLOOKUP(Tableau85[[#This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calculatedColumnFormula>
    </tableColumn>
    <tableColumn id="3" xr3:uid="{8CB15C0E-05AD-407D-A9F6-2BF1C571600F}" name="%" dataDxfId="67">
      <calculatedColumnFormula>Tableau85[[#This Row],[tCO2e]]/$B$1</calculatedColumnFormula>
    </tableColumn>
  </tableColumns>
  <tableStyleInfo name="TableStyleLight8"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B9C3D8-5ACC-4F99-BADA-6D4EB5E9DFE4}" name="Tableau6" displayName="Tableau6" ref="A24:H38" totalsRowShown="0" headerRowDxfId="66" dataDxfId="65">
  <autoFilter ref="A24:H38" xr:uid="{B9B9C3D8-5ACC-4F99-BADA-6D4EB5E9DFE4}"/>
  <tableColumns count="8">
    <tableColumn id="1" xr3:uid="{650E0FBE-6284-4AFC-8544-9432C1748F6C}" name="Sujet" dataDxfId="64"/>
    <tableColumn id="2" xr3:uid="{7AD741F4-ED71-424C-B260-3BCC44907680}" name="Dispositifs Cyber" dataDxfId="63">
      <calculatedColumnFormula>_xlfn.XLOOKUP(Tableau6[[#This Row],[Sujet]],Cartographie_des_résultats_des_appareils_par_sujet[Sujet],Cartographie_des_résultats_des_appareils_par_sujet[Émissions totales Dispositifs (kgCO2e)])/1000</calculatedColumnFormula>
    </tableColumn>
    <tableColumn id="3" xr3:uid="{02EB9484-63A5-4EFC-8868-B386A3A72159}" name="Réseau" dataDxfId="62">
      <calculatedColumnFormula>_xlfn.XLOOKUP(Tableau6[[#This Row],[Sujet]],Cartographie_des_résultats_du_réseau_par_sujet[Sujet],Cartographie_des_résultats_du_réseau_par_sujet[Émissions des appareils (kgCO2e)])/1000</calculatedColumnFormula>
    </tableColumn>
    <tableColumn id="4" xr3:uid="{E64CAD6B-243E-4CAA-9581-2D085A55C1BA}" name="Serveurs de sauvegarde" dataDxfId="61">
      <calculatedColumnFormula>_xlfn.XLOOKUP(Tableau6[[#This Row],[Sujet]],Cartographie_Serveurs_par_Resultats_par_Sujet[Sujet],Cartographie_Serveurs_par_Resultats_par_Sujet[Total des émissions des services sur place (kgCO2e)])/1000</calculatedColumnFormula>
    </tableColumn>
    <tableColumn id="5" xr3:uid="{1C4930A9-309E-4810-BB4B-37F20D2AC64D}" name=" Infrastructure des logiciels Cyber" dataDxfId="60">
      <calculatedColumnFormula>_xlfn.XLOOKUP(Tableau6[[#This Row],[Sujet]],Cartographie_Solutions_par_Resultats_par_Sujet[Sujet],Cartographie_Solutions_par_Resultats_par_Sujet[Total des émissions de la solution Cyber (kgCO2e)])/1000</calculatedColumnFormula>
    </tableColumn>
    <tableColumn id="6" xr3:uid="{F0838315-A966-4085-8325-CE6133588D2B}" name="Services externes" dataDxfId="59">
      <calculatedColumnFormula>_xlfn.XLOOKUP(Tableau6[[#This Row],[Sujet]],Cartographie_des_résultats_externes_par_sujet[Sujet],Cartographie_des_résultats_externes_par_sujet[Total des émissions des services extérieurs (kgCO2e)])/1000</calculatedColumnFormula>
    </tableColumn>
    <tableColumn id="7" xr3:uid="{1B3328BF-71B7-4583-A302-2788E9E8DAEE}" name="Voyage" dataDxfId="58">
      <calculatedColumnFormula>_xlfn.XLOOKUP(Tableau6[[#This Row],[Sujet]],Cartographie_des_résultats_de_voyage_par_sujet[Sujet],Cartographie_des_résultats_de_voyage_par_sujet[Total des voyages (kgCO2e)])/1000</calculatedColumnFormula>
    </tableColumn>
    <tableColumn id="8" xr3:uid="{67DD65B0-320E-442C-85C3-B13B74604E7C}" name="Equipements Non-Cyber" dataDxfId="57">
      <calculatedColumnFormula>_xlfn.XLOOKUP(Tableau6[[#This Row],[Sujet]],Cartographie_des_résultats_non_cyber_par_sujet[Contrôle NIST],Cartographie_des_résultats_non_cyber_par_sujet[Total des émissions de logs et d''antivirus pour les équipements non Cyber (kgCO2e)])/1000</calculatedColumnFormula>
    </tableColumn>
  </tableColumns>
  <tableStyleInfo name="TableStyleLight8"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D265E88-51E9-4E22-B22D-19C6A48F7AAA}" name="Tableau7" displayName="Tableau7" ref="A42:C140" totalsRowShown="0" headerRowDxfId="56" dataDxfId="55">
  <autoFilter ref="A42:C140" xr:uid="{0D265E88-51E9-4E22-B22D-19C6A48F7AAA}"/>
  <tableColumns count="3">
    <tableColumn id="1" xr3:uid="{14A091A9-2013-49CD-9397-97C5EC17F080}" name="Sujet" dataDxfId="54"/>
    <tableColumn id="2" xr3:uid="{D0817D15-DC79-4A65-9243-3B62198E460A}" name="Catégorie" dataDxfId="53"/>
    <tableColumn id="3" xr3:uid="{DC8A7638-6CE5-4E98-8C0C-AD78CD42D801}" name="tCO2e" dataDxfId="52"/>
  </tableColumns>
  <tableStyleInfo name="TableStyleLight8"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7F06E1C-5427-459E-B8D3-0C7FCD5B4B49}" name="Tableau10" displayName="Tableau10" ref="A143:C241" totalsRowShown="0" headerRowDxfId="51" dataDxfId="50">
  <autoFilter ref="A143:C241" xr:uid="{E7F06E1C-5427-459E-B8D3-0C7FCD5B4B49}"/>
  <tableColumns count="3">
    <tableColumn id="1" xr3:uid="{BA3C7DD0-7A36-4E72-A51D-DA1E1DAEFC4B}" name="Catégorie" dataDxfId="49" totalsRowDxfId="48"/>
    <tableColumn id="2" xr3:uid="{52C81C7C-8780-4E9E-9647-03B95C784FD6}" name="Sujet" dataDxfId="47" totalsRowDxfId="46"/>
    <tableColumn id="3" xr3:uid="{164C79D1-5A9B-4AF2-8EA4-96DD889C620E}" name="tCO2e" dataDxfId="45" totalsRowDxfId="44"/>
  </tableColumns>
  <tableStyleInfo name="TableStyleLight8"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30337F-F86F-41FC-85D1-3F0349791291}" name="Tableau853" displayName="Tableau853" ref="A3:E10" totalsRowShown="0" headerRowDxfId="43" dataDxfId="41" headerRowBorderDxfId="42">
  <autoFilter ref="A3:E10" xr:uid="{3930337F-F86F-41FC-85D1-3F0349791291}"/>
  <tableColumns count="5">
    <tableColumn id="1" xr3:uid="{BB437721-4474-49FC-B953-71E3D7843644}" name="Sujet" dataDxfId="40">
      <calculatedColumnFormula>Tableau6[[#Headers],[Dispositifs Cyber]]</calculatedColumnFormula>
    </tableColumn>
    <tableColumn id="4" xr3:uid="{FF764E34-0815-4E8B-92A6-56DC13AA2FE7}" name="Champ d'application 2 (tCO2e)" dataDxfId="39"/>
    <tableColumn id="5" xr3:uid="{37F12EA3-3D80-4648-B781-23309F365A04}" name="Champ d'application 3 (tCO2e)" dataDxfId="38"/>
    <tableColumn id="2" xr3:uid="{48ADECCF-D2A2-4F25-9995-2DEBF73E573F}" name="tCO2e" dataDxfId="37">
      <calculatedColumnFormula>SUM(Tableau853[[#This Row],[Champ d''application 2 (tCO2e)]:[Champ d''application 3 (tCO2e)]])</calculatedColumnFormula>
    </tableColumn>
    <tableColumn id="3" xr3:uid="{AC4538E6-1F9D-4084-ADD6-FA057AEB96ED}" name="%" dataDxfId="36">
      <calculatedColumnFormula>Tableau853[[#This Row],[tCO2e]]/$B$1</calculatedColumnFormula>
    </tableColumn>
  </tableColumns>
  <tableStyleInfo name="TableStyleLight8"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E425FC7-535F-46C0-9016-16485D46F7E0}" name="Tableau18" displayName="Tableau18" ref="A12:B14" totalsRowShown="0" headerRowDxfId="35" dataDxfId="34">
  <autoFilter ref="A12:B14" xr:uid="{CE425FC7-535F-46C0-9016-16485D46F7E0}"/>
  <tableColumns count="2">
    <tableColumn id="1" xr3:uid="{7B37DA43-6361-4B87-A213-30D5DA86FDD2}" name="Champ d'application" dataDxfId="33"/>
    <tableColumn id="2" xr3:uid="{109C73C9-8A93-44A9-B179-3E26DCA26AE2}" name="tCO2e" dataDxfId="32">
      <calculatedColumnFormula>Total_Scope3</calculatedColumnFormula>
    </tableColumn>
  </tableColumns>
  <tableStyleInfo name="TableStyleLight8"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F102DA-2DE3-4A67-9C53-92611C636A2C}" name="Tableau1" displayName="Tableau1" ref="A22:C42" totalsRowShown="0" headerRowDxfId="31" dataDxfId="29" headerRowBorderDxfId="30" tableBorderDxfId="28" totalsRowBorderDxfId="27">
  <autoFilter ref="A22:C42" xr:uid="{03F102DA-2DE3-4A67-9C53-92611C636A2C}"/>
  <tableColumns count="3">
    <tableColumn id="1" xr3:uid="{52390FB1-D2EC-4234-868B-0E6AD68CF57B}" name="Catégorie" dataDxfId="26"/>
    <tableColumn id="2" xr3:uid="{33990F9B-8EDE-4899-A439-2BDFA85D9DCF}" name="Sous catégorie" dataDxfId="25"/>
    <tableColumn id="3" xr3:uid="{8B5BBC25-A8B5-4422-881E-F0377372B1BF}" name="tCO2e" dataDxfId="24"/>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E4896F4-F1C7-449C-A474-76EF4CFC47B5}" name="Appareils_Smartphones" displayName="Appareils_Smartphones" ref="B35:K36" totalsRowShown="0" headerRowDxfId="656" dataDxfId="654" headerRowBorderDxfId="655" tableBorderDxfId="653">
  <autoFilter ref="B35:K36" xr:uid="{3E4896F4-F1C7-449C-A474-76EF4CFC47B5}"/>
  <tableColumns count="10">
    <tableColumn id="3" xr3:uid="{4E91D5AC-E7F1-4E00-A67D-05365132D966}" name="Champ d'application" dataDxfId="652"/>
    <tableColumn id="4" xr3:uid="{7449674D-E24B-4D24-97ED-B8DFCE445A25}" name="Quantité " dataDxfId="651"/>
    <tableColumn id="1" xr3:uid="{BBEFAF95-B64F-4EE2-89FD-0BC3AE30BAFC}" name="Durée de vie" dataDxfId="650"/>
    <tableColumn id="2" xr3:uid="{75A2E243-1E1C-46E3-94C4-A6E5CD0E3E7E}" name="Mix électrique (kgCO2e/kWh)" dataDxfId="649">
      <calculatedColumnFormula>CI_Cyber_Staff</calculatedColumnFormula>
    </tableColumn>
    <tableColumn id="8" xr3:uid="{BDD61899-5101-4DD6-A3F2-94A9ED4B4A85}" name="Facteur d'émission" dataDxfId="648">
      <calculatedColumnFormula>'3.2 Facteurs d''émission'!$C$27</calculatedColumnFormula>
    </tableColumn>
    <tableColumn id="9" xr3:uid="{CC271419-23EB-4855-9BDC-D79AE90ABBC4}" name="Consommation électrique (kWh/an/unité)" dataDxfId="647">
      <calculatedColumnFormula>VLOOKUP(Appareils_Smartphones[[#This Row],[Facteur d''émission]],Tableau25[[Nom]:[Consommation (kWh/an)]],6,FALSE)</calculatedColumnFormula>
    </tableColumn>
    <tableColumn id="10" xr3:uid="{D483A104-01F1-4919-957C-3B4FCEFB401A}" name="Fabrication (kgCO2e/unité)" dataDxfId="646">
      <calculatedColumnFormula>VLOOKUP(Appareils_Smartphones[[#This Row],[Facteur d''émission]],Tableau25[[Nom]:[Consommation (kWh/an)]],5,FALSE)</calculatedColumnFormula>
    </tableColumn>
    <tableColumn id="11" xr3:uid="{6819D3D8-A622-4CB4-B41B-A5C514367E00}" name="Champ d'application 2 (kgC02e)" dataDxfId="645">
      <calculatedColumnFormula>Appareils_Smartphones[[#This Row],[Consommation électrique (kWh/an/unité)]]*Appareils_Smartphones[[#This Row],[Mix électrique (kgCO2e/kWh)]]*Appareils_Smartphones[[#This Row],[Quantité ]]</calculatedColumnFormula>
    </tableColumn>
    <tableColumn id="13" xr3:uid="{22BF6618-E4D0-4585-9AF8-D1EB585D17E5}" name="Champ d'application 3 (kgC02e)" dataDxfId="644">
      <calculatedColumnFormula>Appareils_Smartphones[[#This Row],[Fabrication (kgCO2e/unité)]]*Appareils_Smartphones[[#This Row],[Quantité ]]/Appareils_Smartphones[[#This Row],[Durée de vie]]</calculatedColumnFormula>
    </tableColumn>
    <tableColumn id="14" xr3:uid="{D56CF274-C6A6-429B-B609-70C183CB67EA}" name="Émissions totales (kgC02e)" dataDxfId="643">
      <calculatedColumnFormula>Appareils_Smartphones[[#This Row],[Champ d''application 2 (kgC02e)]]+Appareils_Smartphones[[#This Row],[Champ d''application 3 (kgC02e)]]</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117CA0-E362-47C3-9BE7-D44D5DC40A4B}" name="Appareils_poste_de_travail_ordinateur_de_bureau" displayName="Appareils_poste_de_travail_ordinateur_de_bureau" ref="B21:K24" totalsRowShown="0" headerRowDxfId="642" dataDxfId="640" headerRowBorderDxfId="641" tableBorderDxfId="639">
  <autoFilter ref="B21:K24" xr:uid="{E4117CA0-E362-47C3-9BE7-D44D5DC40A4B}"/>
  <tableColumns count="10">
    <tableColumn id="3" xr3:uid="{528D0649-58BD-4E8D-85F7-965598281851}" name="Champ d'application" dataDxfId="638"/>
    <tableColumn id="4" xr3:uid="{759F4C40-1EF1-460F-8833-9E0A4547D54F}" name="Quantité " dataDxfId="637"/>
    <tableColumn id="5" xr3:uid="{FF4D2DD3-AD33-4A44-BE2E-175EA9267F53}" name="Durée de vie" dataDxfId="636"/>
    <tableColumn id="2" xr3:uid="{B84DE500-B07E-4329-A0E1-6D82A9269DD7}" name="Mix électrique (kgCO2e/kWh)" dataDxfId="635"/>
    <tableColumn id="8" xr3:uid="{185ED4FE-31B9-47BA-BD55-C7114BAB1528}" name="Facteur d'émission" dataDxfId="634">
      <calculatedColumnFormula>'3.2 Facteurs d''émission'!$C$9</calculatedColumnFormula>
    </tableColumn>
    <tableColumn id="14" xr3:uid="{04E84036-D419-4028-8D79-BC87D6C617BD}" name="Consommation électrique (kWh/an/unité)" dataDxfId="633">
      <calculatedColumnFormula>VLOOKUP(Appareils_poste_de_travail_ordinateur_de_bureau[[#This Row],[Facteur d''émission]],Tableau3[[Nom]:[Consommation (kWh/an)]],6,FALSE)</calculatedColumnFormula>
    </tableColumn>
    <tableColumn id="15" xr3:uid="{85A6D4D6-4CCC-419A-B5AB-AFE180ED997D}" name="Fabrication (kgCO2e/unité)" dataDxfId="632">
      <calculatedColumnFormula>VLOOKUP(Appareils_poste_de_travail_ordinateur_de_bureau[[#This Row],[Facteur d''émission]],Tableau3[[Nom]:[Consommation (kWh/an)]],5,FALSE)</calculatedColumnFormula>
    </tableColumn>
    <tableColumn id="9" xr3:uid="{4133C5B0-4CFE-44CC-A20D-62C299F560D2}" name="Champ d'application 2 (kgC02e)" dataDxfId="631">
      <calculatedColumnFormula>IFERROR(Appareils_poste_de_travail_ordinateur_de_bureau[[#This Row],[Consommation électrique (kWh/an/unité)]]*Appareils_poste_de_travail_ordinateur_de_bureau[[#This Row],[Mix électrique (kgCO2e/kWh)]]*Appareils_poste_de_travail_ordinateur_de_bureau[[#This Row],[Quantité ]],0)</calculatedColumnFormula>
    </tableColumn>
    <tableColumn id="10" xr3:uid="{79B68C81-64A3-4499-A39B-3FECE3088417}" name="Champ d'application 3 (kgC02e)" dataDxfId="630">
      <calculatedColumnFormula>Appareils_poste_de_travail_ordinateur_de_bureau[[#This Row],[Fabrication (kgCO2e/unité)]]*Appareils_poste_de_travail_ordinateur_de_bureau[[#This Row],[Quantité ]]/Appareils_poste_de_travail_ordinateur_de_bureau[[#This Row],[Durée de vie]]</calculatedColumnFormula>
    </tableColumn>
    <tableColumn id="11" xr3:uid="{514ADC51-EE5F-4DDD-8C40-28F7CBB058CB}" name="Émissions totales (kgC02e)" dataDxfId="629">
      <calculatedColumnFormula>Appareils_poste_de_travail_ordinateur_de_bureau[[#This Row],[Champ d''application 2 (kgC02e)]]+Appareils_poste_de_travail_ordinateur_de_bureau[[#This Row],[Champ d''application 3 (kgC02e)]]</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D93CCB7-0CBC-4D17-BF5C-CDA28A9C4028}" name="Proxy_Reseau" displayName="Proxy_Reseau" ref="B14:M17" totalsRowShown="0" headerRowDxfId="628" dataDxfId="626" headerRowBorderDxfId="627" tableBorderDxfId="625">
  <autoFilter ref="B14:M17" xr:uid="{D38FD372-162A-4006-ADDF-9863B233DC4E}"/>
  <tableColumns count="12">
    <tableColumn id="6" xr3:uid="{479A6BCE-ED6A-498D-AB48-80954159B3E5}" name="ID du DC" dataDxfId="624"/>
    <tableColumn id="14" xr3:uid="{D4787926-C0BD-469F-903B-6B210FA5E5E3}" name="PUE" dataDxfId="623"/>
    <tableColumn id="4" xr3:uid="{7A4802C6-8751-4F4B-95F3-51B998AB5F11}" name="Quantité " dataDxfId="622"/>
    <tableColumn id="5" xr3:uid="{C4DF0C9C-9668-48AD-8FEC-DCD506E916FC}" name="Durée de vie" dataDxfId="621"/>
    <tableColumn id="1" xr3:uid="{EEBBB898-EFE9-406D-9987-856263E26F10}" name="Localisation" dataDxfId="620"/>
    <tableColumn id="2" xr3:uid="{B4F86CAD-326A-4491-AC6B-56DBF972A5EC}" name="Mix électrique (kgCO2e/kWh)" dataDxfId="619">
      <calculatedColumnFormula>IFERROR(VLOOKUP(Proxy_Reseau[[#This Row],[Localisation]],Mix_électrique[],2,FALSE),0)</calculatedColumnFormula>
    </tableColumn>
    <tableColumn id="8" xr3:uid="{F13A0600-0764-43CA-8179-0AC632E4FACB}" name="Facteur d'émission" dataDxfId="618">
      <calculatedColumnFormula>'3.2 Facteurs d''émission'!FE_Firewalls</calculatedColumnFormula>
    </tableColumn>
    <tableColumn id="9" xr3:uid="{89A06A9A-0FC6-4AB7-9D29-3F1989D00075}" name="Consommation électrique (kWh/an/unité)" dataDxfId="617">
      <calculatedColumnFormula>VLOOKUP(Proxy_Reseau[[#This Row],[Facteur d''émission]],Tableau31[[Nom]:[Consommation (kWh/an)]],6,FALSE)</calculatedColumnFormula>
    </tableColumn>
    <tableColumn id="10" xr3:uid="{6813464F-CC29-49CB-8799-D54A2F093822}" name="Fabrication (kgCO2e/unité)" dataDxfId="616">
      <calculatedColumnFormula>VLOOKUP(Proxy_Reseau[[#This Row],[Facteur d''émission]],Tableau31[[Nom]:[Consommation (kWh/an)]],5,FALSE)</calculatedColumnFormula>
    </tableColumn>
    <tableColumn id="11" xr3:uid="{AF50BF63-AA86-4688-BA19-C7F628A27BC0}" name="Champ d'application 2 (kgC02e)" dataDxfId="615">
      <calculatedColumnFormula>Proxy_Reseau[[#This Row],[Consommation électrique (kWh/an/unité)]]*Proxy_Reseau[[#This Row],[Mix électrique (kgCO2e/kWh)]]*Proxy_Reseau[[#This Row],[Quantité ]]*Proxy_Reseau[[#This Row],[PUE]]</calculatedColumnFormula>
    </tableColumn>
    <tableColumn id="15" xr3:uid="{D8E2D94A-0C52-459E-A420-39053A660CFF}" name="Champ d'application 3 (kgC02e)" dataDxfId="614">
      <calculatedColumnFormula>IFERROR(Proxy_Reseau[[#This Row],[Fabrication (kgCO2e/unité)]]*Proxy_Reseau[[#This Row],[Quantité ]]/Proxy_Reseau[[#This Row],[Durée de vie]],0)</calculatedColumnFormula>
    </tableColumn>
    <tableColumn id="16" xr3:uid="{F09FC8DB-DF5A-41C1-955B-451B86CAC660}" name="Émissions totales (kgC02e)" dataDxfId="613">
      <calculatedColumnFormula>Proxy_Reseau[[#This Row],[Champ d''application 2 (kgC02e)]]+Proxy_Reseau[[#This Row],[Champ d''application 3 (kgC02e)]]</calculatedColumnFormula>
    </tableColumn>
  </tableColumns>
  <tableStyleInfo name="TableStyleLight8"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Wavestone 2">
      <a:majorFont>
        <a:latin typeface="Arial"/>
        <a:ea typeface=""/>
        <a:cs typeface=""/>
      </a:majorFont>
      <a:minorFont>
        <a:latin typeface="Arial"/>
        <a:ea typeface=""/>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4" dT="2025-04-28T11:50:29.52" personId="{9501EA10-5CE1-4339-A0AE-5A3387596C12}" id="{4EF74D15-CDCD-4C01-8036-640929060D3C}">
    <text>Formule à revoir, il me semble qu’il y’a quelque chose qui fait défaut</text>
  </threadedComment>
</ThreadedComments>
</file>

<file path=xl/threadedComments/threadedComment2.xml><?xml version="1.0" encoding="utf-8"?>
<ThreadedComments xmlns="http://schemas.microsoft.com/office/spreadsheetml/2018/threadedcomments" xmlns:x="http://schemas.openxmlformats.org/spreadsheetml/2006/main">
  <threadedComment ref="H7" dT="2022-01-06T10:11:13.70" personId="{D885495E-6A0C-43A9-A2A8-28FA99CC3AAD}" id="{9F591E9C-71AA-41FB-BB82-F374962B3E40}">
    <text>Utilisation</text>
  </threadedComment>
  <threadedComment ref="H13" dT="2022-01-06T10:11:13.70" personId="{D885495E-6A0C-43A9-A2A8-28FA99CC3AAD}" id="{58F01370-167E-4AC5-B1D1-B4C5FDAE2689}">
    <text>Utilisation</text>
  </threadedComment>
  <threadedComment ref="H21" dT="2022-01-06T10:11:13.70" personId="{D885495E-6A0C-43A9-A2A8-28FA99CC3AAD}" id="{99BE2CD0-4DE0-4F16-9E6D-CBCB63178B73}">
    <text>Utilisation</text>
  </threadedComment>
  <threadedComment ref="H26" dT="2022-01-06T10:11:13.70" personId="{D885495E-6A0C-43A9-A2A8-28FA99CC3AAD}" id="{B6A5D1F4-E07D-469A-B066-374A1B133E8C}">
    <text>Utilisation</text>
  </threadedComment>
  <threadedComment ref="H33" dT="2022-01-06T10:11:13.70" personId="{D885495E-6A0C-43A9-A2A8-28FA99CC3AAD}" id="{4F7745A5-66D6-4EC3-8016-5BE9FA6F6EB7}">
    <text>Utilisation</text>
  </threadedComment>
  <threadedComment ref="H57" dT="2022-01-06T10:11:13.70" personId="{D885495E-6A0C-43A9-A2A8-28FA99CC3AAD}" id="{BE9775C5-BD0E-425D-9C76-8B1EAC2D78CC}">
    <text>Utilisation</text>
  </threadedComment>
  <threadedComment ref="H62" dT="2022-01-06T10:11:13.70" personId="{D885495E-6A0C-43A9-A2A8-28FA99CC3AAD}" id="{CF415294-951C-4212-A8CC-EDA1EC33B18A}">
    <text>Utilisation</text>
  </threadedComment>
  <threadedComment ref="H67" dT="2022-01-06T10:11:13.70" personId="{D885495E-6A0C-43A9-A2A8-28FA99CC3AAD}" id="{3A8C7282-C352-4A1C-9AF9-538D0FA193F2}">
    <text>Utilisation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table" Target="../tables/table19.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5.bin"/><Relationship Id="rId6" Type="http://schemas.openxmlformats.org/officeDocument/2006/relationships/table" Target="../tables/table27.xml"/><Relationship Id="rId5" Type="http://schemas.openxmlformats.org/officeDocument/2006/relationships/table" Target="../tables/table26.xml"/><Relationship Id="rId4" Type="http://schemas.openxmlformats.org/officeDocument/2006/relationships/table" Target="../tables/table2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9.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table" Target="../tables/table30.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table" Target="../tables/table33.xml"/><Relationship Id="rId1" Type="http://schemas.openxmlformats.org/officeDocument/2006/relationships/table" Target="../tables/table3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table" Target="../tables/table3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table" Target="../tables/table38.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table" Target="../tables/table40.xml"/><Relationship Id="rId5" Type="http://schemas.openxmlformats.org/officeDocument/2006/relationships/table" Target="../tables/table44.xml"/><Relationship Id="rId4" Type="http://schemas.openxmlformats.org/officeDocument/2006/relationships/table" Target="../tables/table4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printerSettings" Target="../printerSettings/printerSettings7.bin"/><Relationship Id="rId1" Type="http://schemas.openxmlformats.org/officeDocument/2006/relationships/hyperlink" Target="https://www.bilans-ges.ademe.fr/documentation/UPLOAD_DOC_FR/index.htm?moyenne_par_pays.htm"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3" Type="http://schemas.openxmlformats.org/officeDocument/2006/relationships/hyperlink" Target="https://datavizta.boavizta.org/serversimpact%20;%20Average%20on%20SSD%20kgCO2e%20/%20GB" TargetMode="External"/><Relationship Id="rId18" Type="http://schemas.openxmlformats.org/officeDocument/2006/relationships/table" Target="../tables/table47.xml"/><Relationship Id="rId26" Type="http://schemas.openxmlformats.org/officeDocument/2006/relationships/table" Target="../tables/table55.xml"/><Relationship Id="rId3" Type="http://schemas.openxmlformats.org/officeDocument/2006/relationships/hyperlink" Target="https://i.dell.com/sites/csdocuments/CorpComm_Docs/en/carbon-footprint-poweredge-r740xd.pdf" TargetMode="External"/><Relationship Id="rId21" Type="http://schemas.openxmlformats.org/officeDocument/2006/relationships/table" Target="../tables/table50.xml"/><Relationship Id="rId7" Type="http://schemas.openxmlformats.org/officeDocument/2006/relationships/hyperlink" Target="https://base-empreinte.ademe.fr/donnees/jeu-donnees" TargetMode="External"/><Relationship Id="rId12" Type="http://schemas.openxmlformats.org/officeDocument/2006/relationships/hyperlink" Target="https://datavizta.boavizta.org/serversimpact%20;%20Average%20on%20SSD%20kgCO2e%20/%20GB" TargetMode="External"/><Relationship Id="rId17" Type="http://schemas.openxmlformats.org/officeDocument/2006/relationships/table" Target="../tables/table46.xml"/><Relationship Id="rId25" Type="http://schemas.openxmlformats.org/officeDocument/2006/relationships/table" Target="../tables/table54.xml"/><Relationship Id="rId33" Type="http://schemas.microsoft.com/office/2017/10/relationships/threadedComment" Target="../threadedComments/threadedComment2.xml"/><Relationship Id="rId2" Type="http://schemas.openxmlformats.org/officeDocument/2006/relationships/hyperlink" Target="https://www.arcep.fr/uploads/tx_gspublication/etude-numerique-environnement-ademe-arcep-volet02_janv2022.pdf" TargetMode="External"/><Relationship Id="rId16" Type="http://schemas.openxmlformats.org/officeDocument/2006/relationships/vmlDrawing" Target="../drawings/vmlDrawing2.vml"/><Relationship Id="rId20" Type="http://schemas.openxmlformats.org/officeDocument/2006/relationships/table" Target="../tables/table49.xml"/><Relationship Id="rId29" Type="http://schemas.openxmlformats.org/officeDocument/2006/relationships/table" Target="../tables/table58.xml"/><Relationship Id="rId1" Type="http://schemas.openxmlformats.org/officeDocument/2006/relationships/hyperlink" Target="https://datavizta.boavizta.org/serversimpact%20;%20Average%20on%20SSD%20kgCO2e%20/%20GB" TargetMode="External"/><Relationship Id="rId6" Type="http://schemas.openxmlformats.org/officeDocument/2006/relationships/hyperlink" Target="file:///C:\Users\hugo.berard\Downloads\HPE%20product%20carbon%20footprint%20&#226;&#8364;&#8220;%20HPE%20Synergy%20480%20Gen10%20Compute%20Module%20data%20sheet-a50005191enw.pdf" TargetMode="External"/><Relationship Id="rId11" Type="http://schemas.openxmlformats.org/officeDocument/2006/relationships/hyperlink" Target="https://base-empreinte.ademe.fr/donnees/jeu-donnees" TargetMode="External"/><Relationship Id="rId24" Type="http://schemas.openxmlformats.org/officeDocument/2006/relationships/table" Target="../tables/table53.xml"/><Relationship Id="rId32" Type="http://schemas.openxmlformats.org/officeDocument/2006/relationships/comments" Target="../comments2.xml"/><Relationship Id="rId5" Type="http://schemas.openxmlformats.org/officeDocument/2006/relationships/hyperlink" Target="https://i.dell.com/sites/csdocuments/CorpComm_Docs/en/carbon-footprint-poweredge-r640.pdf" TargetMode="External"/><Relationship Id="rId15" Type="http://schemas.openxmlformats.org/officeDocument/2006/relationships/printerSettings" Target="../printerSettings/printerSettings8.bin"/><Relationship Id="rId23" Type="http://schemas.openxmlformats.org/officeDocument/2006/relationships/table" Target="../tables/table52.xml"/><Relationship Id="rId28" Type="http://schemas.openxmlformats.org/officeDocument/2006/relationships/table" Target="../tables/table57.xml"/><Relationship Id="rId10" Type="http://schemas.openxmlformats.org/officeDocument/2006/relationships/hyperlink" Target="https://base-empreinte.ademe.fr/donnees/jeu-donnees" TargetMode="External"/><Relationship Id="rId19" Type="http://schemas.openxmlformats.org/officeDocument/2006/relationships/table" Target="../tables/table48.xml"/><Relationship Id="rId31" Type="http://schemas.openxmlformats.org/officeDocument/2006/relationships/table" Target="../tables/table60.xml"/><Relationship Id="rId4" Type="http://schemas.openxmlformats.org/officeDocument/2006/relationships/hyperlink" Target="https://i.dell.com/sites/csdocuments/CorpComm_Docs/en/carbon-footprint-poweredge-r740.pdf" TargetMode="External"/><Relationship Id="rId9" Type="http://schemas.openxmlformats.org/officeDocument/2006/relationships/hyperlink" Target="https://base-empreinte.ademe.fr/donnees/jeu-donnees" TargetMode="External"/><Relationship Id="rId14" Type="http://schemas.openxmlformats.org/officeDocument/2006/relationships/hyperlink" Target="https://base-empreinte.ademe.fr/donnees/jeu-donnees" TargetMode="External"/><Relationship Id="rId22" Type="http://schemas.openxmlformats.org/officeDocument/2006/relationships/table" Target="../tables/table51.xml"/><Relationship Id="rId27" Type="http://schemas.openxmlformats.org/officeDocument/2006/relationships/table" Target="../tables/table56.xml"/><Relationship Id="rId30" Type="http://schemas.openxmlformats.org/officeDocument/2006/relationships/table" Target="../tables/table59.xml"/><Relationship Id="rId8" Type="http://schemas.openxmlformats.org/officeDocument/2006/relationships/hyperlink" Target="https://base-empreinte.ademe.fr/donnees/jeu-donnees" TargetMode="External"/></Relationships>
</file>

<file path=xl/worksheets/_rels/sheet21.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table" Target="../tables/table63.xml"/><Relationship Id="rId1" Type="http://schemas.openxmlformats.org/officeDocument/2006/relationships/drawing" Target="../drawings/drawing5.xml"/><Relationship Id="rId5" Type="http://schemas.openxmlformats.org/officeDocument/2006/relationships/table" Target="../tables/table66.xml"/><Relationship Id="rId4" Type="http://schemas.openxmlformats.org/officeDocument/2006/relationships/table" Target="../tables/table6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table" Target="../tables/table67.xml"/><Relationship Id="rId1" Type="http://schemas.openxmlformats.org/officeDocument/2006/relationships/drawing" Target="../drawings/drawing6.xml"/><Relationship Id="rId4" Type="http://schemas.openxmlformats.org/officeDocument/2006/relationships/table" Target="../tables/table6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bin"/><Relationship Id="rId5" Type="http://schemas.openxmlformats.org/officeDocument/2006/relationships/table" Target="../tables/table8.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bin"/><Relationship Id="rId4"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drawing" Target="../drawings/drawing3.xml"/><Relationship Id="rId4" Type="http://schemas.openxmlformats.org/officeDocument/2006/relationships/table" Target="../tables/table1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F351-4C2C-4177-BFE2-FD6F5AA43D47}">
  <sheetPr>
    <tabColor theme="2"/>
  </sheetPr>
  <dimension ref="A1:N45"/>
  <sheetViews>
    <sheetView showGridLines="0" tabSelected="1" zoomScale="112" zoomScaleNormal="112" workbookViewId="0">
      <selection activeCell="A38" sqref="A38"/>
    </sheetView>
  </sheetViews>
  <sheetFormatPr baseColWidth="10" defaultColWidth="10.75" defaultRowHeight="14" x14ac:dyDescent="0.3"/>
  <cols>
    <col min="1" max="16384" width="10.75" style="3"/>
  </cols>
  <sheetData>
    <row r="1" spans="1:14" ht="23" x14ac:dyDescent="0.3">
      <c r="A1" s="71" t="s">
        <v>701</v>
      </c>
      <c r="K1" s="44" t="s">
        <v>232</v>
      </c>
    </row>
    <row r="3" spans="1:14" x14ac:dyDescent="0.3">
      <c r="A3" s="3" t="s">
        <v>806</v>
      </c>
    </row>
    <row r="4" spans="1:14" x14ac:dyDescent="0.3">
      <c r="A4" s="3" t="s">
        <v>807</v>
      </c>
    </row>
    <row r="11" spans="1:14" ht="130.5" customHeight="1" x14ac:dyDescent="0.3">
      <c r="K11" s="323" t="s">
        <v>804</v>
      </c>
      <c r="L11" s="323"/>
      <c r="M11" s="323"/>
      <c r="N11" s="323"/>
    </row>
    <row r="17" spans="1:1" x14ac:dyDescent="0.3">
      <c r="A17" s="3" t="s">
        <v>818</v>
      </c>
    </row>
    <row r="38" spans="1:1" x14ac:dyDescent="0.3">
      <c r="A38" s="3" t="s">
        <v>820</v>
      </c>
    </row>
    <row r="39" spans="1:1" x14ac:dyDescent="0.3">
      <c r="A39" s="3" t="s">
        <v>808</v>
      </c>
    </row>
    <row r="40" spans="1:1" x14ac:dyDescent="0.3">
      <c r="A40" s="3" t="s">
        <v>809</v>
      </c>
    </row>
    <row r="41" spans="1:1" x14ac:dyDescent="0.3">
      <c r="A41" s="3" t="s">
        <v>810</v>
      </c>
    </row>
    <row r="42" spans="1:1" x14ac:dyDescent="0.3">
      <c r="A42" s="3" t="s">
        <v>811</v>
      </c>
    </row>
    <row r="44" spans="1:1" x14ac:dyDescent="0.3">
      <c r="A44" s="3" t="s">
        <v>812</v>
      </c>
    </row>
    <row r="45" spans="1:1" x14ac:dyDescent="0.3">
      <c r="A45" s="3" t="s">
        <v>805</v>
      </c>
    </row>
  </sheetData>
  <mergeCells count="1">
    <mergeCell ref="K11:N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D7C16-0024-4153-9226-1B68F54D5EAC}">
  <sheetPr>
    <tabColor theme="9" tint="0.79998168889431442"/>
  </sheetPr>
  <dimension ref="A2:H19"/>
  <sheetViews>
    <sheetView showGridLines="0" zoomScale="70" zoomScaleNormal="70" workbookViewId="0">
      <selection activeCell="B2" sqref="B2"/>
    </sheetView>
  </sheetViews>
  <sheetFormatPr baseColWidth="10" defaultColWidth="8.75" defaultRowHeight="14" x14ac:dyDescent="0.3"/>
  <cols>
    <col min="1" max="1" width="46.83203125" style="3" customWidth="1"/>
    <col min="2" max="2" width="35" style="3" customWidth="1"/>
    <col min="3" max="3" width="18.4140625" style="3" customWidth="1"/>
    <col min="4" max="4" width="27.1640625" style="3" customWidth="1"/>
    <col min="5" max="5" width="63.1640625" style="3" customWidth="1"/>
    <col min="6" max="6" width="26.75" style="3" customWidth="1"/>
    <col min="7" max="7" width="30.5" style="3" customWidth="1"/>
    <col min="8" max="8" width="30.4140625" style="3" customWidth="1"/>
    <col min="9" max="16384" width="8.75" style="3"/>
  </cols>
  <sheetData>
    <row r="2" spans="1:7" ht="15.5" x14ac:dyDescent="0.3">
      <c r="A2" s="138" t="s">
        <v>215</v>
      </c>
    </row>
    <row r="3" spans="1:7" ht="15.5" x14ac:dyDescent="0.3">
      <c r="B3" s="139" t="s">
        <v>216</v>
      </c>
    </row>
    <row r="4" spans="1:7" ht="42" x14ac:dyDescent="0.3">
      <c r="B4" s="147" t="s">
        <v>227</v>
      </c>
    </row>
    <row r="5" spans="1:7" ht="56" x14ac:dyDescent="0.3">
      <c r="B5" s="225" t="s">
        <v>228</v>
      </c>
    </row>
    <row r="6" spans="1:7" ht="42" x14ac:dyDescent="0.3">
      <c r="B6" s="228" t="s">
        <v>229</v>
      </c>
    </row>
    <row r="7" spans="1:7" ht="42" x14ac:dyDescent="0.3">
      <c r="B7" s="229" t="s">
        <v>230</v>
      </c>
    </row>
    <row r="8" spans="1:7" x14ac:dyDescent="0.3">
      <c r="B8" s="118" t="s">
        <v>225</v>
      </c>
    </row>
    <row r="12" spans="1:7" ht="40" x14ac:dyDescent="0.3">
      <c r="A12" s="236" t="s">
        <v>718</v>
      </c>
    </row>
    <row r="13" spans="1:7" ht="47" customHeight="1" x14ac:dyDescent="0.3">
      <c r="B13" s="48" t="s">
        <v>609</v>
      </c>
      <c r="C13" s="48" t="s">
        <v>610</v>
      </c>
      <c r="D13" s="48" t="s">
        <v>581</v>
      </c>
      <c r="E13" s="81" t="s">
        <v>564</v>
      </c>
      <c r="F13" s="81" t="s">
        <v>611</v>
      </c>
      <c r="G13" s="82" t="s">
        <v>569</v>
      </c>
    </row>
    <row r="14" spans="1:7" ht="43.5" customHeight="1" x14ac:dyDescent="0.3">
      <c r="B14" s="184" t="s">
        <v>442</v>
      </c>
      <c r="C14" s="175">
        <v>2059547</v>
      </c>
      <c r="D14" s="185"/>
      <c r="E14" s="238" t="str">
        <f>'3.2 Facteurs d''émission'!$C$108</f>
        <v>Voyage aérien - ADEME 2020, Base carbone - Courte distance, avec pistes</v>
      </c>
      <c r="F14" s="84">
        <f>VLOOKUP(Voyage[[#This Row],[Facteur d''émission]],Tableau36[[Nom]:[Émissions]],5,FALSE)</f>
        <v>0.25800000000000001</v>
      </c>
      <c r="G14" s="97">
        <f>Voyage[[#This Row],[Émissions (kgCO2e/km)]]*Voyage[[#This Row],[Nombre de km]]</f>
        <v>531363.12600000005</v>
      </c>
    </row>
    <row r="15" spans="1:7" ht="32" customHeight="1" x14ac:dyDescent="0.3">
      <c r="B15" s="186" t="s">
        <v>443</v>
      </c>
      <c r="C15" s="175">
        <v>150506</v>
      </c>
      <c r="D15" s="185"/>
      <c r="E15" s="238" t="str">
        <f>'3.2 Facteurs d''émission'!$C$108</f>
        <v>Voyage aérien - ADEME 2020, Base carbone - Courte distance, avec pistes</v>
      </c>
      <c r="F15" s="84">
        <f>VLOOKUP(Voyage[[#This Row],[Facteur d''émission]],Tableau36[[Nom]:[Émissions]],5,FALSE)</f>
        <v>0.25800000000000001</v>
      </c>
      <c r="G15" s="97">
        <f>Voyage[[#This Row],[Émissions (kgCO2e/km)]]*Voyage[[#This Row],[Nombre de km]]</f>
        <v>38830.548000000003</v>
      </c>
    </row>
    <row r="16" spans="1:7" ht="44.5" customHeight="1" x14ac:dyDescent="0.3">
      <c r="B16" s="186" t="s">
        <v>146</v>
      </c>
      <c r="C16" s="175">
        <v>380014</v>
      </c>
      <c r="D16" s="185"/>
      <c r="E16" s="238" t="str">
        <f>'3.2 Facteurs d''émission'!$C$108</f>
        <v>Voyage aérien - ADEME 2020, Base carbone - Courte distance, avec pistes</v>
      </c>
      <c r="F16" s="84">
        <f>VLOOKUP(Voyage[[#This Row],[Facteur d''émission]],Tableau36[[Nom]:[Émissions]],5,FALSE)</f>
        <v>0.25800000000000001</v>
      </c>
      <c r="G16" s="97">
        <f>Voyage[[#This Row],[Émissions (kgCO2e/km)]]*Voyage[[#This Row],[Nombre de km]]</f>
        <v>98043.612000000008</v>
      </c>
    </row>
    <row r="17" spans="2:8" ht="44.5" customHeight="1" x14ac:dyDescent="0.3"/>
    <row r="19" spans="2:8" s="33" customFormat="1" ht="14.5" x14ac:dyDescent="0.3">
      <c r="B19" s="24"/>
      <c r="C19" s="24"/>
      <c r="D19" s="24"/>
      <c r="E19" s="24"/>
      <c r="F19" s="24"/>
      <c r="G19" s="24"/>
      <c r="H19" s="24"/>
    </row>
  </sheetData>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D8110E3-FB9D-40BA-9074-8FA6F84A299E}">
          <x14:formula1>
            <xm:f>'3.2 Facteurs d''émission'!$C$108:$C$115</xm:f>
          </x14:formula1>
          <xm:sqref>E14:E16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92AA-F66A-4D3E-8BF1-CD52DC75B753}">
  <sheetPr>
    <tabColor theme="9" tint="0.79998168889431442"/>
  </sheetPr>
  <dimension ref="A2:Q1762"/>
  <sheetViews>
    <sheetView showGridLines="0" zoomScale="65" zoomScaleNormal="145" workbookViewId="0">
      <selection activeCell="B2" sqref="B2"/>
    </sheetView>
  </sheetViews>
  <sheetFormatPr baseColWidth="10" defaultColWidth="8.75" defaultRowHeight="15" customHeight="1" x14ac:dyDescent="0.3"/>
  <cols>
    <col min="1" max="1" width="67.5" style="3" customWidth="1"/>
    <col min="2" max="2" width="49.75" style="3" customWidth="1"/>
    <col min="3" max="3" width="26.75" style="3" customWidth="1"/>
    <col min="4" max="4" width="26.1640625" style="3" customWidth="1"/>
    <col min="5" max="5" width="34.6640625" style="3" customWidth="1"/>
    <col min="6" max="6" width="30.9140625" style="3" customWidth="1"/>
    <col min="7" max="7" width="32.5" style="3" customWidth="1"/>
    <col min="8" max="8" width="33.1640625" style="3" customWidth="1"/>
    <col min="9" max="9" width="28.9140625" style="3" customWidth="1"/>
    <col min="10" max="10" width="24.5" style="3" customWidth="1"/>
    <col min="11" max="11" width="37.75" style="3" customWidth="1"/>
    <col min="12" max="12" width="39.4140625" style="3" customWidth="1"/>
    <col min="13" max="13" width="31.9140625" style="3" customWidth="1"/>
    <col min="14" max="14" width="35.9140625" style="3" customWidth="1"/>
    <col min="15" max="15" width="43.9140625" style="3" customWidth="1"/>
    <col min="16" max="16" width="42.1640625" style="3" customWidth="1"/>
    <col min="17" max="17" width="44.75" style="3" customWidth="1"/>
    <col min="18" max="18" width="40.5" style="3" customWidth="1"/>
    <col min="19" max="19" width="27.4140625" style="3" customWidth="1"/>
    <col min="20" max="20" width="32.4140625" style="3" customWidth="1"/>
    <col min="21" max="21" width="36.5" style="3" customWidth="1"/>
    <col min="22" max="22" width="22.9140625" style="3" customWidth="1"/>
    <col min="23" max="16384" width="8.75" style="3"/>
  </cols>
  <sheetData>
    <row r="2" spans="1:12" ht="32.5" customHeight="1" x14ac:dyDescent="0.3">
      <c r="A2" s="138" t="s">
        <v>215</v>
      </c>
    </row>
    <row r="3" spans="1:12" ht="15.5" x14ac:dyDescent="0.3">
      <c r="B3" s="139" t="s">
        <v>216</v>
      </c>
    </row>
    <row r="4" spans="1:12" ht="28" x14ac:dyDescent="0.3">
      <c r="B4" s="147" t="s">
        <v>227</v>
      </c>
    </row>
    <row r="5" spans="1:12" ht="28" x14ac:dyDescent="0.3">
      <c r="B5" s="225" t="s">
        <v>228</v>
      </c>
    </row>
    <row r="6" spans="1:12" ht="28" x14ac:dyDescent="0.3">
      <c r="B6" s="228" t="s">
        <v>229</v>
      </c>
    </row>
    <row r="7" spans="1:12" ht="28" x14ac:dyDescent="0.3">
      <c r="B7" s="229" t="s">
        <v>230</v>
      </c>
    </row>
    <row r="8" spans="1:12" ht="14" x14ac:dyDescent="0.3">
      <c r="B8" s="118" t="s">
        <v>225</v>
      </c>
    </row>
    <row r="12" spans="1:12" s="23" customFormat="1" ht="52.5" customHeight="1" x14ac:dyDescent="0.3">
      <c r="A12" s="236" t="s">
        <v>612</v>
      </c>
    </row>
    <row r="13" spans="1:12" s="23" customFormat="1" ht="14" x14ac:dyDescent="0.3">
      <c r="C13" s="90"/>
      <c r="D13" s="90"/>
      <c r="E13" s="90"/>
      <c r="F13" s="90"/>
      <c r="G13" s="90"/>
      <c r="H13" s="90"/>
      <c r="I13" s="90"/>
    </row>
    <row r="14" spans="1:12" s="22" customFormat="1" ht="38.5" customHeight="1" x14ac:dyDescent="0.3">
      <c r="B14" s="74" t="s">
        <v>420</v>
      </c>
      <c r="C14" s="74" t="s">
        <v>562</v>
      </c>
      <c r="D14" s="74" t="s">
        <v>563</v>
      </c>
      <c r="E14" s="45" t="s">
        <v>799</v>
      </c>
      <c r="F14" s="45" t="s">
        <v>564</v>
      </c>
      <c r="G14" s="45" t="s">
        <v>565</v>
      </c>
      <c r="H14" s="45" t="s">
        <v>566</v>
      </c>
      <c r="I14" s="45" t="s">
        <v>567</v>
      </c>
      <c r="J14" s="45" t="s">
        <v>568</v>
      </c>
      <c r="K14" s="45" t="s">
        <v>569</v>
      </c>
    </row>
    <row r="15" spans="1:12" s="23" customFormat="1" ht="56" x14ac:dyDescent="0.3">
      <c r="B15" s="120" t="s">
        <v>720</v>
      </c>
      <c r="C15" s="143">
        <f>18700-141</f>
        <v>18559</v>
      </c>
      <c r="D15" s="147">
        <v>5</v>
      </c>
      <c r="E15" s="73">
        <f>Intensité_Carbone_Personnel_du_groupe</f>
        <v>0.47659000000000001</v>
      </c>
      <c r="F15" s="73" t="str">
        <f>'3.2 Facteurs d''émission'!$C$8</f>
        <v>Poste de travail - Ordinateur portable, quelle que soit la taille de l'écran - ADEME 2023, Base carbone</v>
      </c>
      <c r="G15" s="73">
        <f>VLOOKUP(Poste_de_travail_non_cyber_ordinateur_portable[[#This Row],[Facteur d''émission]],Tableau3[[Nom]:[Consommation (kWh/an)]],6,FALSE)</f>
        <v>29.1</v>
      </c>
      <c r="H15" s="73">
        <f>VLOOKUP(Poste_de_travail_non_cyber_ordinateur_portable[[#This Row],[Facteur d''émission]],Tableau3[[Nom]:[Consommation (kWh/an)]],5,FALSE)</f>
        <v>170.3</v>
      </c>
      <c r="I15" s="73">
        <f>Poste_de_travail_non_cyber_ordinateur_portable[[#This Row],[Consommation électrique (kWh/an/unité)]]*Poste_de_travail_non_cyber_ordinateur_portable[[#This Row],[Mix électrique (kgCO2e/kWh)]]*Poste_de_travail_non_cyber_ordinateur_portable[[#This Row],[Quantité ]]</f>
        <v>257390.483871</v>
      </c>
      <c r="J15" s="73">
        <f>Poste_de_travail_non_cyber_ordinateur_portable[[#This Row],[Fabrication (kgCO2e/unité)]]*Poste_de_travail_non_cyber_ordinateur_portable[[#This Row],[Quantité ]]/Poste_de_travail_non_cyber_ordinateur_portable[[#This Row],[Durée de vie]]</f>
        <v>632119.54</v>
      </c>
      <c r="K15" s="73">
        <f>Poste_de_travail_non_cyber_ordinateur_portable[[#This Row],[Champ d''application 2 (kgC02e)]]+Poste_de_travail_non_cyber_ordinateur_portable[[#This Row],[Champ d''application 3 (kgC02e)]]</f>
        <v>889510.02387100004</v>
      </c>
      <c r="L15" s="104"/>
    </row>
    <row r="16" spans="1:12" s="23" customFormat="1" ht="56" x14ac:dyDescent="0.3">
      <c r="B16" s="120" t="s">
        <v>721</v>
      </c>
      <c r="C16" s="147">
        <v>1</v>
      </c>
      <c r="D16" s="147">
        <v>5</v>
      </c>
      <c r="E16" s="73">
        <f>Intensité_Carbone_Personnel_du_groupe</f>
        <v>0.47659000000000001</v>
      </c>
      <c r="F16" s="73" t="str">
        <f>'3.2 Facteurs d''émission'!$C$8</f>
        <v>Poste de travail - Ordinateur portable, quelle que soit la taille de l'écran - ADEME 2023, Base carbone</v>
      </c>
      <c r="G16" s="73">
        <f>VLOOKUP(Poste_de_travail_non_cyber_ordinateur_portable[[#This Row],[Facteur d''émission]],Tableau3[[Nom]:[Consommation (kWh/an)]],6,FALSE)</f>
        <v>29.1</v>
      </c>
      <c r="H16" s="73">
        <f>VLOOKUP(Poste_de_travail_non_cyber_ordinateur_portable[[#This Row],[Facteur d''émission]],Tableau3[[Nom]:[Consommation (kWh/an)]],5,FALSE)</f>
        <v>170.3</v>
      </c>
      <c r="I16" s="73">
        <f>Poste_de_travail_non_cyber_ordinateur_portable[[#This Row],[Consommation électrique (kWh/an/unité)]]*Poste_de_travail_non_cyber_ordinateur_portable[[#This Row],[Mix électrique (kgCO2e/kWh)]]*Poste_de_travail_non_cyber_ordinateur_portable[[#This Row],[Quantité ]]</f>
        <v>13.868769</v>
      </c>
      <c r="J16" s="73">
        <f>Poste_de_travail_non_cyber_ordinateur_portable[[#This Row],[Fabrication (kgCO2e/unité)]]*Poste_de_travail_non_cyber_ordinateur_portable[[#This Row],[Quantité ]]/Poste_de_travail_non_cyber_ordinateur_portable[[#This Row],[Durée de vie]]</f>
        <v>34.06</v>
      </c>
      <c r="K16" s="73">
        <f>Poste_de_travail_non_cyber_ordinateur_portable[[#This Row],[Champ d''application 2 (kgC02e)]]+Poste_de_travail_non_cyber_ordinateur_portable[[#This Row],[Champ d''application 3 (kgC02e)]]</f>
        <v>47.928769000000003</v>
      </c>
    </row>
    <row r="17" spans="1:11" s="23" customFormat="1" ht="56" x14ac:dyDescent="0.3">
      <c r="B17" s="120" t="s">
        <v>619</v>
      </c>
      <c r="C17" s="147">
        <v>1</v>
      </c>
      <c r="D17" s="147">
        <v>5</v>
      </c>
      <c r="E17" s="73">
        <f>Intensité_Carbone_Personnel_du_groupe</f>
        <v>0.47659000000000001</v>
      </c>
      <c r="F17" s="73" t="str">
        <f>'3.2 Facteurs d''émission'!$C$8</f>
        <v>Poste de travail - Ordinateur portable, quelle que soit la taille de l'écran - ADEME 2023, Base carbone</v>
      </c>
      <c r="G17" s="73">
        <f>VLOOKUP(Poste_de_travail_non_cyber_ordinateur_portable[[#This Row],[Facteur d''émission]],Tableau3[[Nom]:[Consommation (kWh/an)]],6,FALSE)</f>
        <v>29.1</v>
      </c>
      <c r="H17" s="73">
        <f>VLOOKUP(Poste_de_travail_non_cyber_ordinateur_portable[[#This Row],[Facteur d''émission]],Tableau3[[Nom]:[Consommation (kWh/an)]],5,FALSE)</f>
        <v>170.3</v>
      </c>
      <c r="I17" s="73">
        <f>Poste_de_travail_non_cyber_ordinateur_portable[[#This Row],[Consommation électrique (kWh/an/unité)]]*Poste_de_travail_non_cyber_ordinateur_portable[[#This Row],[Mix électrique (kgCO2e/kWh)]]*Poste_de_travail_non_cyber_ordinateur_portable[[#This Row],[Quantité ]]</f>
        <v>13.868769</v>
      </c>
      <c r="J17" s="73">
        <f>Poste_de_travail_non_cyber_ordinateur_portable[[#This Row],[Fabrication (kgCO2e/unité)]]*Poste_de_travail_non_cyber_ordinateur_portable[[#This Row],[Quantité ]]/Poste_de_travail_non_cyber_ordinateur_portable[[#This Row],[Durée de vie]]</f>
        <v>34.06</v>
      </c>
      <c r="K17" s="73">
        <f>Poste_de_travail_non_cyber_ordinateur_portable[[#This Row],[Champ d''application 2 (kgC02e)]]+Poste_de_travail_non_cyber_ordinateur_portable[[#This Row],[Champ d''application 3 (kgC02e)]]</f>
        <v>47.928769000000003</v>
      </c>
    </row>
    <row r="18" spans="1:11" s="23" customFormat="1" ht="14" x14ac:dyDescent="0.3">
      <c r="B18" s="128"/>
      <c r="C18" s="128"/>
    </row>
    <row r="19" spans="1:11" s="23" customFormat="1" ht="45.5" customHeight="1" x14ac:dyDescent="0.3">
      <c r="A19" s="236" t="s">
        <v>613</v>
      </c>
      <c r="B19" s="128"/>
      <c r="C19" s="128"/>
    </row>
    <row r="20" spans="1:11" s="23" customFormat="1" ht="14" x14ac:dyDescent="0.3">
      <c r="B20" s="128"/>
      <c r="C20" s="129"/>
      <c r="D20" s="90"/>
      <c r="E20" s="90"/>
      <c r="F20" s="90"/>
      <c r="G20" s="90"/>
      <c r="H20" s="90"/>
      <c r="I20" s="90"/>
    </row>
    <row r="21" spans="1:11" s="23" customFormat="1" ht="36" customHeight="1" x14ac:dyDescent="0.3">
      <c r="A21" s="22"/>
      <c r="B21" s="130" t="s">
        <v>420</v>
      </c>
      <c r="C21" s="130" t="s">
        <v>562</v>
      </c>
      <c r="D21" s="74" t="s">
        <v>563</v>
      </c>
      <c r="E21" s="45" t="s">
        <v>799</v>
      </c>
      <c r="F21" s="45" t="s">
        <v>564</v>
      </c>
      <c r="G21" s="45" t="s">
        <v>565</v>
      </c>
      <c r="H21" s="45" t="s">
        <v>566</v>
      </c>
      <c r="I21" s="45" t="s">
        <v>567</v>
      </c>
      <c r="J21" s="45" t="s">
        <v>568</v>
      </c>
      <c r="K21" s="45" t="s">
        <v>569</v>
      </c>
    </row>
    <row r="22" spans="1:11" s="23" customFormat="1" ht="80" customHeight="1" x14ac:dyDescent="0.3">
      <c r="B22" s="120" t="s">
        <v>720</v>
      </c>
      <c r="C22" s="147">
        <f>18700-141</f>
        <v>18559</v>
      </c>
      <c r="D22" s="147">
        <v>5</v>
      </c>
      <c r="E22" s="73">
        <f>Intensité_Carbone_Personnel_du_groupe</f>
        <v>0.47659000000000001</v>
      </c>
      <c r="F22" s="73" t="str">
        <f>'3.2 Facteurs d''émission'!$C$9</f>
        <v>Poste de travail - Unité centrale d'ordinateur seule - ADEME 2023, Base carbone</v>
      </c>
      <c r="G22" s="73">
        <f>VLOOKUP(Poste_de_travail_non_cyber_ordinateur_de_bureau[[#This Row],[Facteur d''émission]],Tableau3[[Nom]:[Consommation (kWh/an)]],6,FALSE)</f>
        <v>151</v>
      </c>
      <c r="H22" s="73">
        <f>VLOOKUP(Poste_de_travail_non_cyber_ordinateur_de_bureau[[#This Row],[Facteur d''émission]],Tableau3[[Nom]:[Consommation (kWh/an)]],5,FALSE)</f>
        <v>202.57769999999999</v>
      </c>
      <c r="I22" s="73">
        <f>Poste_de_travail_non_cyber_ordinateur_de_bureau[[#This Row],[Consommation électrique (kWh/an/unité)]]*Poste_de_travail_non_cyber_ordinateur_de_bureau[[#This Row],[Mix électrique (kgCO2e/kWh)]]*Poste_de_travail_non_cyber_ordinateur_de_bureau[[#This Row],[Quantité ]]</f>
        <v>1335600.10531</v>
      </c>
      <c r="J22" s="73">
        <f>Poste_de_travail_non_cyber_ordinateur_de_bureau[[#This Row],[Fabrication (kgCO2e/unité)]]*Poste_de_travail_non_cyber_ordinateur_de_bureau[[#This Row],[Quantité ]]/Poste_de_travail_non_cyber_ordinateur_de_bureau[[#This Row],[Durée de vie]]</f>
        <v>751927.90685999999</v>
      </c>
      <c r="K22" s="73">
        <f>Poste_de_travail_non_cyber_ordinateur_de_bureau[[#This Row],[Champ d''application 2 (kgC02e)]]+Poste_de_travail_non_cyber_ordinateur_de_bureau[[#This Row],[Champ d''application 3 (kgC02e)]]</f>
        <v>2087528.01217</v>
      </c>
    </row>
    <row r="23" spans="1:11" s="23" customFormat="1" ht="79" customHeight="1" x14ac:dyDescent="0.3">
      <c r="B23" s="120" t="s">
        <v>721</v>
      </c>
      <c r="C23" s="147">
        <v>1</v>
      </c>
      <c r="D23" s="147">
        <v>5</v>
      </c>
      <c r="E23" s="73">
        <f>Intensité_Carbone_Personnel_du_groupe</f>
        <v>0.47659000000000001</v>
      </c>
      <c r="F23" s="73" t="str">
        <f>'3.2 Facteurs d''émission'!$C$9</f>
        <v>Poste de travail - Unité centrale d'ordinateur seule - ADEME 2023, Base carbone</v>
      </c>
      <c r="G23" s="73">
        <f>VLOOKUP(Poste_de_travail_non_cyber_ordinateur_de_bureau[[#This Row],[Facteur d''émission]],Tableau3[[Nom]:[Consommation (kWh/an)]],6,FALSE)</f>
        <v>151</v>
      </c>
      <c r="H23" s="73">
        <f>VLOOKUP(Poste_de_travail_non_cyber_ordinateur_de_bureau[[#This Row],[Facteur d''émission]],Tableau3[[Nom]:[Consommation (kWh/an)]],5,FALSE)</f>
        <v>202.57769999999999</v>
      </c>
      <c r="I23" s="73">
        <f>Poste_de_travail_non_cyber_ordinateur_de_bureau[[#This Row],[Consommation électrique (kWh/an/unité)]]*Poste_de_travail_non_cyber_ordinateur_de_bureau[[#This Row],[Mix électrique (kgCO2e/kWh)]]*Poste_de_travail_non_cyber_ordinateur_de_bureau[[#This Row],[Quantité ]]</f>
        <v>71.965090000000004</v>
      </c>
      <c r="J23" s="73">
        <f>Poste_de_travail_non_cyber_ordinateur_de_bureau[[#This Row],[Fabrication (kgCO2e/unité)]]*Poste_de_travail_non_cyber_ordinateur_de_bureau[[#This Row],[Quantité ]]/Poste_de_travail_non_cyber_ordinateur_de_bureau[[#This Row],[Durée de vie]]</f>
        <v>40.515540000000001</v>
      </c>
      <c r="K23" s="73">
        <f>Poste_de_travail_non_cyber_ordinateur_de_bureau[[#This Row],[Champ d''application 2 (kgC02e)]]+Poste_de_travail_non_cyber_ordinateur_de_bureau[[#This Row],[Champ d''application 3 (kgC02e)]]</f>
        <v>112.48063</v>
      </c>
    </row>
    <row r="24" spans="1:11" s="23" customFormat="1" ht="81.5" customHeight="1" x14ac:dyDescent="0.3">
      <c r="B24" s="120" t="s">
        <v>618</v>
      </c>
      <c r="C24" s="147">
        <v>5</v>
      </c>
      <c r="D24" s="147">
        <v>5</v>
      </c>
      <c r="E24" s="73">
        <f>Intensité_Carbone_Personnel_du_groupe</f>
        <v>0.47659000000000001</v>
      </c>
      <c r="F24" s="73" t="str">
        <f>'3.2 Facteurs d''émission'!$C$9</f>
        <v>Poste de travail - Unité centrale d'ordinateur seule - ADEME 2023, Base carbone</v>
      </c>
      <c r="G24" s="73">
        <f>VLOOKUP(Poste_de_travail_non_cyber_ordinateur_de_bureau[[#This Row],[Facteur d''émission]],Tableau3[[Nom]:[Consommation (kWh/an)]],6,FALSE)</f>
        <v>151</v>
      </c>
      <c r="H24" s="73">
        <f>VLOOKUP(Poste_de_travail_non_cyber_ordinateur_de_bureau[[#This Row],[Facteur d''émission]],Tableau3[[Nom]:[Consommation (kWh/an)]],5,FALSE)</f>
        <v>202.57769999999999</v>
      </c>
      <c r="I24" s="73">
        <f>Poste_de_travail_non_cyber_ordinateur_de_bureau[[#This Row],[Consommation électrique (kWh/an/unité)]]*Poste_de_travail_non_cyber_ordinateur_de_bureau[[#This Row],[Mix électrique (kgCO2e/kWh)]]*Poste_de_travail_non_cyber_ordinateur_de_bureau[[#This Row],[Quantité ]]</f>
        <v>359.82545000000005</v>
      </c>
      <c r="J24" s="73">
        <f>Poste_de_travail_non_cyber_ordinateur_de_bureau[[#This Row],[Fabrication (kgCO2e/unité)]]*Poste_de_travail_non_cyber_ordinateur_de_bureau[[#This Row],[Quantité ]]/Poste_de_travail_non_cyber_ordinateur_de_bureau[[#This Row],[Durée de vie]]</f>
        <v>202.57769999999999</v>
      </c>
      <c r="K24" s="73">
        <f>Poste_de_travail_non_cyber_ordinateur_de_bureau[[#This Row],[Champ d''application 2 (kgC02e)]]+Poste_de_travail_non_cyber_ordinateur_de_bureau[[#This Row],[Champ d''application 3 (kgC02e)]]</f>
        <v>562.4031500000001</v>
      </c>
    </row>
    <row r="25" spans="1:11" s="23" customFormat="1" ht="14" x14ac:dyDescent="0.3">
      <c r="B25" s="128"/>
      <c r="C25" s="128"/>
    </row>
    <row r="26" spans="1:11" s="23" customFormat="1" ht="14" x14ac:dyDescent="0.3">
      <c r="B26" s="128"/>
      <c r="C26" s="128"/>
    </row>
    <row r="27" spans="1:11" s="23" customFormat="1" ht="14" x14ac:dyDescent="0.3">
      <c r="B27" s="128"/>
      <c r="C27" s="128"/>
    </row>
    <row r="28" spans="1:11" s="23" customFormat="1" ht="28.5" customHeight="1" x14ac:dyDescent="0.3">
      <c r="A28" s="236" t="s">
        <v>719</v>
      </c>
    </row>
    <row r="29" spans="1:11" s="23" customFormat="1" ht="14.5" customHeight="1" x14ac:dyDescent="0.3">
      <c r="D29" s="90"/>
      <c r="E29" s="90"/>
      <c r="F29" s="90"/>
      <c r="G29" s="90"/>
      <c r="H29" s="90"/>
    </row>
    <row r="30" spans="1:11" s="23" customFormat="1" ht="28" x14ac:dyDescent="0.3">
      <c r="B30" s="45" t="s">
        <v>420</v>
      </c>
      <c r="C30" s="45" t="s">
        <v>562</v>
      </c>
      <c r="D30" s="45" t="s">
        <v>799</v>
      </c>
      <c r="E30" s="45" t="s">
        <v>564</v>
      </c>
      <c r="F30" s="45" t="s">
        <v>565</v>
      </c>
      <c r="G30" s="45" t="s">
        <v>566</v>
      </c>
      <c r="H30" s="45" t="s">
        <v>567</v>
      </c>
      <c r="I30" s="45" t="s">
        <v>568</v>
      </c>
      <c r="J30" s="45" t="s">
        <v>569</v>
      </c>
    </row>
    <row r="31" spans="1:11" s="23" customFormat="1" ht="70" x14ac:dyDescent="0.3">
      <c r="B31" s="121" t="s">
        <v>616</v>
      </c>
      <c r="C31" s="72">
        <v>0</v>
      </c>
      <c r="D31" s="73">
        <f>Intensité_Carbone_Personnel_du_groupe</f>
        <v>0.47659000000000001</v>
      </c>
      <c r="E31" s="73" t="str">
        <f>'3.2 Facteurs d''émission'!$C$14</f>
        <v>VDIs - Etude Wavestone basée sur la base de données ADEME/Base de données Negaoctet - Serveur sous-jacent VDI (8 vCPU, 32 GB RAM dédié) et réseau</v>
      </c>
      <c r="F31" s="73">
        <f>VLOOKUP(Groupe_non_cyber_VDI45[[#This Row],[Facteur d''émission]],Tableau13[[Nom]:[Consommation (kWh/an)]],6,FALSE)</f>
        <v>26.895045041723733</v>
      </c>
      <c r="G31" s="73">
        <f>VLOOKUP(Groupe_non_cyber_VDI45[[#This Row],[Facteur d''émission]],Tableau13[[Nom]:[Consommation (kWh/an)]],5,FALSE)</f>
        <v>127.73183243741441</v>
      </c>
      <c r="H31" s="73">
        <f>Groupe_non_cyber_VDI45[[#This Row],[Consommation électrique (kWh/an/unité)]]*Groupe_non_cyber_VDI45[[#This Row],[Mix électrique (kgCO2e/kWh)]]*Groupe_non_cyber_VDI45[[#This Row],[Quantité ]]</f>
        <v>0</v>
      </c>
      <c r="I31" s="73">
        <f>Groupe_non_cyber_VDI45[[#This Row],[Fabrication (kgCO2e/unité)]]*Groupe_non_cyber_VDI45[[#This Row],[Quantité ]]</f>
        <v>0</v>
      </c>
      <c r="J31" s="73">
        <f>Groupe_non_cyber_VDI45[[#This Row],[Champ d''application 2 (kgC02e)]]+Groupe_non_cyber_VDI45[[#This Row],[Champ d''application 3 (kgC02e)]]</f>
        <v>0</v>
      </c>
    </row>
    <row r="32" spans="1:11" s="23" customFormat="1" ht="70" x14ac:dyDescent="0.3">
      <c r="B32" s="121" t="s">
        <v>617</v>
      </c>
      <c r="C32" s="72"/>
      <c r="D32" s="73">
        <f>Intensité_Carbone_Personnel_du_groupe</f>
        <v>0.47659000000000001</v>
      </c>
      <c r="E32" s="73" t="str">
        <f>'3.2 Facteurs d''émission'!$C$14</f>
        <v>VDIs - Etude Wavestone basée sur la base de données ADEME/Base de données Negaoctet - Serveur sous-jacent VDI (8 vCPU, 32 GB RAM dédié) et réseau</v>
      </c>
      <c r="F32" s="73">
        <f>VLOOKUP(Groupe_non_cyber_VDI45[[#This Row],[Facteur d''émission]],Tableau13[[Nom]:[Consommation (kWh/an)]],6,FALSE)</f>
        <v>26.895045041723733</v>
      </c>
      <c r="G32" s="73">
        <f>VLOOKUP(Groupe_non_cyber_VDI45[[#This Row],[Facteur d''émission]],Tableau13[[Nom]:[Consommation (kWh/an)]],5,FALSE)</f>
        <v>127.73183243741441</v>
      </c>
      <c r="H32" s="73">
        <f>Groupe_non_cyber_VDI45[[#This Row],[Consommation électrique (kWh/an/unité)]]*Groupe_non_cyber_VDI45[[#This Row],[Mix électrique (kgCO2e/kWh)]]*Groupe_non_cyber_VDI45[[#This Row],[Quantité ]]</f>
        <v>0</v>
      </c>
      <c r="I32" s="73">
        <f>Groupe_non_cyber_VDI45[[#This Row],[Fabrication (kgCO2e/unité)]]*Groupe_non_cyber_VDI45[[#This Row],[Quantité ]]</f>
        <v>0</v>
      </c>
      <c r="J32" s="73">
        <f>Groupe_non_cyber_VDI45[[#This Row],[Champ d''application 2 (kgC02e)]]+Groupe_non_cyber_VDI45[[#This Row],[Champ d''application 3 (kgC02e)]]</f>
        <v>0</v>
      </c>
    </row>
    <row r="36" spans="1:17" ht="48" customHeight="1" x14ac:dyDescent="0.3">
      <c r="A36" s="235" t="s">
        <v>654</v>
      </c>
    </row>
    <row r="37" spans="1:17" ht="20.149999999999999" customHeight="1" x14ac:dyDescent="0.3"/>
    <row r="38" spans="1:17" s="5" customFormat="1" ht="33.5" customHeight="1" x14ac:dyDescent="0.3">
      <c r="A38" s="3"/>
      <c r="B38" s="153" t="s">
        <v>572</v>
      </c>
      <c r="C38" s="153" t="s">
        <v>614</v>
      </c>
      <c r="D38" s="187" t="s">
        <v>574</v>
      </c>
      <c r="E38" s="153" t="s">
        <v>576</v>
      </c>
      <c r="F38" s="89" t="s">
        <v>577</v>
      </c>
      <c r="G38" s="89" t="s">
        <v>118</v>
      </c>
      <c r="H38" s="89" t="s">
        <v>578</v>
      </c>
      <c r="I38" s="89" t="s">
        <v>615</v>
      </c>
      <c r="J38" s="89" t="s">
        <v>119</v>
      </c>
      <c r="K38" s="89" t="s">
        <v>581</v>
      </c>
      <c r="L38" s="89" t="s">
        <v>800</v>
      </c>
      <c r="M38" s="89" t="s">
        <v>582</v>
      </c>
      <c r="N38" s="89" t="s">
        <v>583</v>
      </c>
      <c r="O38" s="89" t="s">
        <v>584</v>
      </c>
      <c r="P38" s="49" t="s">
        <v>585</v>
      </c>
    </row>
    <row r="39" spans="1:17" ht="14" x14ac:dyDescent="0.3">
      <c r="B39" s="154" t="s">
        <v>121</v>
      </c>
      <c r="C39" s="154"/>
      <c r="D39" s="154"/>
      <c r="E39" s="155">
        <v>10</v>
      </c>
      <c r="F39" s="155" t="s">
        <v>92</v>
      </c>
      <c r="G39" s="155">
        <v>1.59</v>
      </c>
      <c r="H39" s="155">
        <v>128</v>
      </c>
      <c r="I39" s="156">
        <v>250</v>
      </c>
      <c r="J39" s="155">
        <v>175000</v>
      </c>
      <c r="K39" s="154"/>
      <c r="L39" s="189">
        <f>IFERROR(VLOOKUP(Serveurs_Non_Cyber[[#This Row],[Emplacement du serveur ]],Mix_électrique[],2,FALSE),0)</f>
        <v>5.8000000000000003E-2</v>
      </c>
      <c r="M39" s="190">
        <f>Serveurs_Non_Cyber[[#This Row],[CPU physique (unité)]]*'3.2 Facteurs d''émission'!$M$53*Serveurs_Non_Cyber[[#This Row],[PUE]]</f>
        <v>351343.89</v>
      </c>
      <c r="N39" s="190">
        <f>Serveurs_Non_Cyber[[#This Row],[Consommation électrique (kWh)]]*Serveurs_Non_Cyber[[#This Row],[Mix électrique (kgCO2e / kWh)]]</f>
        <v>20377.945620000002</v>
      </c>
      <c r="O39"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69441.111111111109</v>
      </c>
      <c r="P39" s="190">
        <f>Serveurs_Non_Cyber[[#This Row],[Champ d''application 2 (kgCO2e)]]+Serveurs_Non_Cyber[[#This Row],[Champ d''application 3 (kgCO2e)]]</f>
        <v>89819.056731111108</v>
      </c>
      <c r="Q39" s="188"/>
    </row>
    <row r="40" spans="1:17" ht="14" x14ac:dyDescent="0.3">
      <c r="B40" s="154" t="s">
        <v>121</v>
      </c>
      <c r="C40" s="154"/>
      <c r="D40" s="154"/>
      <c r="E40" s="155"/>
      <c r="F40" s="155"/>
      <c r="G40" s="155"/>
      <c r="H40" s="155"/>
      <c r="I40" s="156"/>
      <c r="J40" s="155"/>
      <c r="K40" s="154"/>
      <c r="L40" s="189">
        <f>IFERROR(VLOOKUP(Serveurs_Non_Cyber[[#This Row],[Emplacement du serveur ]],Mix_électrique[],2,FALSE),0)</f>
        <v>0</v>
      </c>
      <c r="M40" s="190">
        <f>Serveurs_Non_Cyber[[#This Row],[CPU physique (unité)]]*'3.2 Facteurs d''émission'!$M$53*Serveurs_Non_Cyber[[#This Row],[PUE]]</f>
        <v>0</v>
      </c>
      <c r="N40" s="190">
        <f>Serveurs_Non_Cyber[[#This Row],[Consommation électrique (kWh)]]*Serveurs_Non_Cyber[[#This Row],[Mix électrique (kgCO2e / kWh)]]</f>
        <v>0</v>
      </c>
      <c r="O40"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0" s="190">
        <f>Serveurs_Non_Cyber[[#This Row],[Champ d''application 2 (kgCO2e)]]+Serveurs_Non_Cyber[[#This Row],[Champ d''application 3 (kgCO2e)]]</f>
        <v>0</v>
      </c>
    </row>
    <row r="41" spans="1:17" ht="14" x14ac:dyDescent="0.3">
      <c r="B41" s="154" t="s">
        <v>121</v>
      </c>
      <c r="C41" s="154"/>
      <c r="D41" s="154"/>
      <c r="E41" s="155"/>
      <c r="F41" s="155"/>
      <c r="G41" s="155"/>
      <c r="H41" s="155"/>
      <c r="I41" s="156"/>
      <c r="J41" s="155"/>
      <c r="K41" s="154"/>
      <c r="L41" s="189">
        <f>IFERROR(VLOOKUP(Serveurs_Non_Cyber[[#This Row],[Emplacement du serveur ]],Mix_électrique[],2,FALSE),0)</f>
        <v>0</v>
      </c>
      <c r="M41" s="190">
        <f>Serveurs_Non_Cyber[[#This Row],[CPU physique (unité)]]*'3.2 Facteurs d''émission'!$M$53*Serveurs_Non_Cyber[[#This Row],[PUE]]</f>
        <v>0</v>
      </c>
      <c r="N41" s="190">
        <f>Serveurs_Non_Cyber[[#This Row],[Consommation électrique (kWh)]]*Serveurs_Non_Cyber[[#This Row],[Mix électrique (kgCO2e / kWh)]]</f>
        <v>0</v>
      </c>
      <c r="O41"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1" s="190">
        <f>Serveurs_Non_Cyber[[#This Row],[Champ d''application 2 (kgCO2e)]]+Serveurs_Non_Cyber[[#This Row],[Champ d''application 3 (kgCO2e)]]</f>
        <v>0</v>
      </c>
    </row>
    <row r="42" spans="1:17" ht="14" x14ac:dyDescent="0.3">
      <c r="B42" s="154" t="s">
        <v>121</v>
      </c>
      <c r="C42" s="154"/>
      <c r="D42" s="154"/>
      <c r="E42" s="155"/>
      <c r="F42" s="155"/>
      <c r="G42" s="155"/>
      <c r="H42" s="155"/>
      <c r="I42" s="156"/>
      <c r="J42" s="155"/>
      <c r="K42" s="154"/>
      <c r="L42" s="189">
        <f>IFERROR(VLOOKUP(Serveurs_Non_Cyber[[#This Row],[Emplacement du serveur ]],Mix_électrique[],2,FALSE),0)</f>
        <v>0</v>
      </c>
      <c r="M42" s="190">
        <f>Serveurs_Non_Cyber[[#This Row],[CPU physique (unité)]]*'3.2 Facteurs d''émission'!$M$53*Serveurs_Non_Cyber[[#This Row],[PUE]]</f>
        <v>0</v>
      </c>
      <c r="N42" s="190">
        <f>Serveurs_Non_Cyber[[#This Row],[Consommation électrique (kWh)]]*Serveurs_Non_Cyber[[#This Row],[Mix électrique (kgCO2e / kWh)]]</f>
        <v>0</v>
      </c>
      <c r="O42"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2" s="190">
        <f>Serveurs_Non_Cyber[[#This Row],[Champ d''application 2 (kgCO2e)]]+Serveurs_Non_Cyber[[#This Row],[Champ d''application 3 (kgCO2e)]]</f>
        <v>0</v>
      </c>
    </row>
    <row r="43" spans="1:17" ht="14" x14ac:dyDescent="0.3">
      <c r="B43" s="154" t="s">
        <v>129</v>
      </c>
      <c r="C43" s="154"/>
      <c r="D43" s="154"/>
      <c r="E43" s="155"/>
      <c r="F43" s="155"/>
      <c r="G43" s="155"/>
      <c r="H43" s="155"/>
      <c r="I43" s="156"/>
      <c r="J43" s="155"/>
      <c r="K43" s="154"/>
      <c r="L43" s="189">
        <f>IFERROR(VLOOKUP(Serveurs_Non_Cyber[[#This Row],[Emplacement du serveur ]],Mix_électrique[],2,FALSE),0)</f>
        <v>0</v>
      </c>
      <c r="M43" s="190">
        <f>Serveurs_Non_Cyber[[#This Row],[CPU physique (unité)]]*'3.2 Facteurs d''émission'!$M$53*Serveurs_Non_Cyber[[#This Row],[PUE]]</f>
        <v>0</v>
      </c>
      <c r="N43" s="190">
        <f>Serveurs_Non_Cyber[[#This Row],[Consommation électrique (kWh)]]*Serveurs_Non_Cyber[[#This Row],[Mix électrique (kgCO2e / kWh)]]</f>
        <v>0</v>
      </c>
      <c r="O43"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3" s="190">
        <f>Serveurs_Non_Cyber[[#This Row],[Champ d''application 2 (kgCO2e)]]+Serveurs_Non_Cyber[[#This Row],[Champ d''application 3 (kgCO2e)]]</f>
        <v>0</v>
      </c>
    </row>
    <row r="44" spans="1:17" ht="14" x14ac:dyDescent="0.3">
      <c r="B44" s="154" t="s">
        <v>129</v>
      </c>
      <c r="C44" s="154"/>
      <c r="D44" s="154"/>
      <c r="E44" s="155"/>
      <c r="F44" s="155"/>
      <c r="G44" s="155"/>
      <c r="H44" s="155"/>
      <c r="I44" s="156"/>
      <c r="J44" s="155"/>
      <c r="K44" s="154"/>
      <c r="L44" s="189">
        <f>IFERROR(VLOOKUP(Serveurs_Non_Cyber[[#This Row],[Emplacement du serveur ]],Mix_électrique[],2,FALSE),0)</f>
        <v>0</v>
      </c>
      <c r="M44" s="190">
        <f>Serveurs_Non_Cyber[[#This Row],[CPU physique (unité)]]*'3.2 Facteurs d''émission'!$M$53*Serveurs_Non_Cyber[[#This Row],[PUE]]</f>
        <v>0</v>
      </c>
      <c r="N44" s="190">
        <f>Serveurs_Non_Cyber[[#This Row],[Consommation électrique (kWh)]]*Serveurs_Non_Cyber[[#This Row],[Mix électrique (kgCO2e / kWh)]]</f>
        <v>0</v>
      </c>
      <c r="O44"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4" s="191">
        <f>Serveurs_Non_Cyber[[#This Row],[Champ d''application 2 (kgCO2e)]]+Serveurs_Non_Cyber[[#This Row],[Champ d''application 3 (kgCO2e)]]</f>
        <v>0</v>
      </c>
    </row>
    <row r="45" spans="1:17" ht="14" x14ac:dyDescent="0.3">
      <c r="B45" s="154" t="s">
        <v>129</v>
      </c>
      <c r="C45" s="154"/>
      <c r="D45" s="154"/>
      <c r="E45" s="155"/>
      <c r="F45" s="155"/>
      <c r="G45" s="155"/>
      <c r="H45" s="155"/>
      <c r="I45" s="156"/>
      <c r="J45" s="155"/>
      <c r="K45" s="154"/>
      <c r="L45" s="189">
        <f>IFERROR(VLOOKUP(Serveurs_Non_Cyber[[#This Row],[Emplacement du serveur ]],Mix_électrique[],2,FALSE),0)</f>
        <v>0</v>
      </c>
      <c r="M45" s="190">
        <f>Serveurs_Non_Cyber[[#This Row],[CPU physique (unité)]]*'3.2 Facteurs d''émission'!$M$53*Serveurs_Non_Cyber[[#This Row],[PUE]]</f>
        <v>0</v>
      </c>
      <c r="N45" s="190">
        <f>Serveurs_Non_Cyber[[#This Row],[Consommation électrique (kWh)]]*Serveurs_Non_Cyber[[#This Row],[Mix électrique (kgCO2e / kWh)]]</f>
        <v>0</v>
      </c>
      <c r="O45"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5" s="190">
        <f>Serveurs_Non_Cyber[[#This Row],[Champ d''application 2 (kgCO2e)]]+Serveurs_Non_Cyber[[#This Row],[Champ d''application 3 (kgCO2e)]]</f>
        <v>0</v>
      </c>
    </row>
    <row r="46" spans="1:17" ht="14" x14ac:dyDescent="0.3">
      <c r="B46" s="154" t="s">
        <v>129</v>
      </c>
      <c r="C46" s="154"/>
      <c r="D46" s="154"/>
      <c r="E46" s="155"/>
      <c r="F46" s="155"/>
      <c r="G46" s="155"/>
      <c r="H46" s="155"/>
      <c r="I46" s="156"/>
      <c r="J46" s="155"/>
      <c r="K46" s="154"/>
      <c r="L46" s="189">
        <f>IFERROR(VLOOKUP(Serveurs_Non_Cyber[[#This Row],[Emplacement du serveur ]],Mix_électrique[],2,FALSE),0)</f>
        <v>0</v>
      </c>
      <c r="M46" s="190">
        <f>Serveurs_Non_Cyber[[#This Row],[CPU physique (unité)]]*'3.2 Facteurs d''émission'!$M$53*Serveurs_Non_Cyber[[#This Row],[PUE]]</f>
        <v>0</v>
      </c>
      <c r="N46" s="190">
        <f>Serveurs_Non_Cyber[[#This Row],[Consommation électrique (kWh)]]*Serveurs_Non_Cyber[[#This Row],[Mix électrique (kgCO2e / kWh)]]</f>
        <v>0</v>
      </c>
      <c r="O46"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6" s="190">
        <f>Serveurs_Non_Cyber[[#This Row],[Champ d''application 2 (kgCO2e)]]+Serveurs_Non_Cyber[[#This Row],[Champ d''application 3 (kgCO2e)]]</f>
        <v>0</v>
      </c>
    </row>
    <row r="47" spans="1:17" ht="14" x14ac:dyDescent="0.3">
      <c r="B47" s="154" t="s">
        <v>129</v>
      </c>
      <c r="C47" s="154"/>
      <c r="D47" s="154"/>
      <c r="E47" s="155"/>
      <c r="F47" s="155"/>
      <c r="G47" s="155"/>
      <c r="H47" s="155"/>
      <c r="I47" s="156"/>
      <c r="J47" s="155"/>
      <c r="K47" s="154"/>
      <c r="L47" s="189">
        <f>IFERROR(VLOOKUP(Serveurs_Non_Cyber[[#This Row],[Emplacement du serveur ]],Mix_électrique[],2,FALSE),0)</f>
        <v>0</v>
      </c>
      <c r="M47" s="190">
        <f>Serveurs_Non_Cyber[[#This Row],[CPU physique (unité)]]*'3.2 Facteurs d''émission'!$M$53*Serveurs_Non_Cyber[[#This Row],[PUE]]</f>
        <v>0</v>
      </c>
      <c r="N47" s="190">
        <f>Serveurs_Non_Cyber[[#This Row],[Consommation électrique (kWh)]]*Serveurs_Non_Cyber[[#This Row],[Mix électrique (kgCO2e / kWh)]]</f>
        <v>0</v>
      </c>
      <c r="O47"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7" s="190">
        <f>Serveurs_Non_Cyber[[#This Row],[Champ d''application 2 (kgCO2e)]]+Serveurs_Non_Cyber[[#This Row],[Champ d''application 3 (kgCO2e)]]</f>
        <v>0</v>
      </c>
    </row>
    <row r="48" spans="1:17" ht="15" customHeight="1" x14ac:dyDescent="0.3">
      <c r="B48" s="154" t="s">
        <v>129</v>
      </c>
      <c r="C48" s="154"/>
      <c r="D48" s="154"/>
      <c r="E48" s="155"/>
      <c r="F48" s="155"/>
      <c r="G48" s="155"/>
      <c r="H48" s="155"/>
      <c r="I48" s="156"/>
      <c r="J48" s="155"/>
      <c r="K48" s="154"/>
      <c r="L48" s="189">
        <f>IFERROR(VLOOKUP(Serveurs_Non_Cyber[[#This Row],[Emplacement du serveur ]],Mix_électrique[],2,FALSE),0)</f>
        <v>0</v>
      </c>
      <c r="M48" s="190">
        <f>Serveurs_Non_Cyber[[#This Row],[CPU physique (unité)]]*'3.2 Facteurs d''émission'!$M$53*Serveurs_Non_Cyber[[#This Row],[PUE]]</f>
        <v>0</v>
      </c>
      <c r="N48" s="190">
        <f>Serveurs_Non_Cyber[[#This Row],[Consommation électrique (kWh)]]*Serveurs_Non_Cyber[[#This Row],[Mix électrique (kgCO2e / kWh)]]</f>
        <v>0</v>
      </c>
      <c r="O48" s="190">
        <f>IFERROR((Serveurs_Non_Cyber[[#This Row],[Serveurs physiques (unité)]]*'3.2 Facteurs d''émission'!$G$68*'3.3 Hypothèses'!$D$14+Serveurs_Non_Cyber[[#This Row],[Serveurs physiques (unité)]]*'3.2 Facteurs d''émission'!$F$47+Serveurs_Non_Cyber[[#This Row],[CPU physique (unité)]]*'3.2 Facteurs d''émission'!$J$47+Serveurs_Non_Cyber[[#This Row],[RAM (GB)]]*'3.2 Facteurs d''émission'!$H$47)/Serveurs_Non_Cyber[[#This Row],[Durée de vie du serveur]],0)</f>
        <v>0</v>
      </c>
      <c r="P48" s="190">
        <f>Serveurs_Non_Cyber[[#This Row],[Champ d''application 2 (kgCO2e)]]+Serveurs_Non_Cyber[[#This Row],[Champ d''application 3 (kgCO2e)]]</f>
        <v>0</v>
      </c>
    </row>
    <row r="49" spans="12:16" ht="15" customHeight="1" x14ac:dyDescent="0.3">
      <c r="L49" s="192"/>
      <c r="M49" s="192"/>
      <c r="N49" s="192"/>
      <c r="O49" s="192"/>
      <c r="P49" s="192"/>
    </row>
    <row r="1687" spans="12:12" ht="14" x14ac:dyDescent="0.3">
      <c r="L1687" s="3">
        <v>214.60473519892986</v>
      </c>
    </row>
    <row r="1688" spans="12:12" ht="14" x14ac:dyDescent="0.3">
      <c r="L1688" s="3">
        <v>238.80926206394952</v>
      </c>
    </row>
    <row r="1689" spans="12:12" ht="14" x14ac:dyDescent="0.3">
      <c r="L1689" s="3">
        <v>1040.3382150540961</v>
      </c>
    </row>
    <row r="1690" spans="12:12" ht="14" x14ac:dyDescent="0.3">
      <c r="L1690" s="3">
        <v>12.175446888544521</v>
      </c>
    </row>
    <row r="1691" spans="12:12" ht="14" x14ac:dyDescent="0.3">
      <c r="L1691" s="3">
        <v>187.87527536514079</v>
      </c>
    </row>
    <row r="1692" spans="12:12" ht="14" x14ac:dyDescent="0.3">
      <c r="L1692" s="3">
        <v>22.71769606159372</v>
      </c>
    </row>
    <row r="1693" spans="12:12" ht="14" x14ac:dyDescent="0.3">
      <c r="L1693" s="3">
        <v>177.6565177308766</v>
      </c>
    </row>
    <row r="1694" spans="12:12" ht="14" x14ac:dyDescent="0.3">
      <c r="L1694" s="3">
        <v>112.05156946226725</v>
      </c>
    </row>
    <row r="1695" spans="12:12" ht="14" x14ac:dyDescent="0.3">
      <c r="L1695" s="3">
        <v>29.118443355532335</v>
      </c>
    </row>
    <row r="1696" spans="12:12" ht="14" x14ac:dyDescent="0.3">
      <c r="L1696" s="3">
        <v>2623.6698285208963</v>
      </c>
    </row>
    <row r="1697" spans="12:12" ht="14" x14ac:dyDescent="0.3">
      <c r="L1697" s="3">
        <v>12.878143925104157</v>
      </c>
    </row>
    <row r="1698" spans="12:12" ht="14" x14ac:dyDescent="0.3">
      <c r="L1698" s="3">
        <v>118.33706295590434</v>
      </c>
    </row>
    <row r="1699" spans="12:12" ht="14" x14ac:dyDescent="0.3">
      <c r="L1699" s="3">
        <v>68.646007030188571</v>
      </c>
    </row>
    <row r="1700" spans="12:12" ht="14" x14ac:dyDescent="0.3">
      <c r="L1700" s="3">
        <v>7.375068922589664</v>
      </c>
    </row>
    <row r="1701" spans="12:12" ht="14" x14ac:dyDescent="0.3">
      <c r="L1701" s="3">
        <v>16.13738379045019</v>
      </c>
    </row>
    <row r="1702" spans="12:12" ht="14" x14ac:dyDescent="0.3">
      <c r="L1702" s="3">
        <v>28.226804705657848</v>
      </c>
    </row>
    <row r="1703" spans="12:12" ht="14" x14ac:dyDescent="0.3">
      <c r="L1703" s="3">
        <v>230.80125923509181</v>
      </c>
    </row>
    <row r="1704" spans="12:12" ht="14" x14ac:dyDescent="0.3">
      <c r="L1704" s="3">
        <v>112.47122409572134</v>
      </c>
    </row>
    <row r="1705" spans="12:12" ht="14" x14ac:dyDescent="0.3">
      <c r="L1705" s="3">
        <v>222.06597554920552</v>
      </c>
    </row>
    <row r="1706" spans="12:12" ht="14" x14ac:dyDescent="0.3">
      <c r="L1706" s="3">
        <v>47.797947281092384</v>
      </c>
    </row>
    <row r="1707" spans="12:12" ht="14" x14ac:dyDescent="0.3">
      <c r="L1707" s="3">
        <v>28.90690762868774</v>
      </c>
    </row>
    <row r="1708" spans="12:12" ht="14" x14ac:dyDescent="0.3">
      <c r="L1708" s="3">
        <v>288.4879209626551</v>
      </c>
    </row>
    <row r="1709" spans="12:12" ht="14" x14ac:dyDescent="0.3">
      <c r="L1709" s="3">
        <v>423.90612909457838</v>
      </c>
    </row>
    <row r="1710" spans="12:12" ht="14" x14ac:dyDescent="0.3">
      <c r="L1710" s="3">
        <v>28.723936396234897</v>
      </c>
    </row>
    <row r="1711" spans="12:12" ht="14" x14ac:dyDescent="0.3">
      <c r="L1711" s="3">
        <v>2244.0700965380238</v>
      </c>
    </row>
    <row r="1712" spans="12:12" ht="14" x14ac:dyDescent="0.3">
      <c r="L1712" s="3">
        <v>475.54130846624025</v>
      </c>
    </row>
    <row r="1713" spans="12:12" ht="14" x14ac:dyDescent="0.3">
      <c r="L1713" s="3">
        <v>167.0072217170914</v>
      </c>
    </row>
    <row r="1714" spans="12:12" ht="14" x14ac:dyDescent="0.3">
      <c r="L1714" s="3">
        <v>45.540678132730605</v>
      </c>
    </row>
    <row r="1715" spans="12:12" ht="14" x14ac:dyDescent="0.3">
      <c r="L1715" s="3">
        <v>1067.364548410003</v>
      </c>
    </row>
    <row r="1716" spans="12:12" ht="14" x14ac:dyDescent="0.3">
      <c r="L1716" s="3">
        <v>132.69841269841265</v>
      </c>
    </row>
    <row r="1717" spans="12:12" ht="14" x14ac:dyDescent="0.3">
      <c r="L1717" s="3">
        <v>78.797582944998993</v>
      </c>
    </row>
    <row r="1718" spans="12:12" ht="14" x14ac:dyDescent="0.3">
      <c r="L1718" s="3">
        <v>89.220257205690274</v>
      </c>
    </row>
    <row r="1719" spans="12:12" ht="14" x14ac:dyDescent="0.3">
      <c r="L1719" s="3">
        <v>3.5875793116479038</v>
      </c>
    </row>
    <row r="1720" spans="12:12" ht="14" x14ac:dyDescent="0.3">
      <c r="L1720" s="3">
        <v>96.585067428823209</v>
      </c>
    </row>
    <row r="1721" spans="12:12" ht="14" x14ac:dyDescent="0.3">
      <c r="L1721" s="3">
        <v>2895.8201130494576</v>
      </c>
    </row>
    <row r="1722" spans="12:12" ht="14" x14ac:dyDescent="0.3">
      <c r="L1722" s="3">
        <v>20.69368964924746</v>
      </c>
    </row>
    <row r="1723" spans="12:12" ht="14" x14ac:dyDescent="0.3">
      <c r="L1723" s="3">
        <v>284.60317460317469</v>
      </c>
    </row>
    <row r="1724" spans="12:12" ht="14" x14ac:dyDescent="0.3">
      <c r="L1724" s="3">
        <v>3.4920634920634921</v>
      </c>
    </row>
    <row r="1725" spans="12:12" ht="14" x14ac:dyDescent="0.3">
      <c r="L1725" s="3">
        <v>47.616955610606375</v>
      </c>
    </row>
    <row r="1726" spans="12:12" ht="14" x14ac:dyDescent="0.3">
      <c r="L1726" s="3">
        <v>60.71331727768974</v>
      </c>
    </row>
    <row r="1727" spans="12:12" ht="14" x14ac:dyDescent="0.3">
      <c r="L1727" s="3">
        <v>370.15873015873007</v>
      </c>
    </row>
    <row r="1728" spans="12:12" ht="14" x14ac:dyDescent="0.3">
      <c r="L1728" s="3">
        <v>0</v>
      </c>
    </row>
    <row r="1729" spans="12:12" ht="14" x14ac:dyDescent="0.3">
      <c r="L1729" s="3">
        <v>6.9841269841269842</v>
      </c>
    </row>
    <row r="1730" spans="12:12" ht="14" x14ac:dyDescent="0.3">
      <c r="L1730" s="3">
        <v>0</v>
      </c>
    </row>
    <row r="1731" spans="12:12" ht="14" x14ac:dyDescent="0.3">
      <c r="L1731" s="3">
        <v>4.3650793650793647</v>
      </c>
    </row>
    <row r="1732" spans="12:12" ht="14" x14ac:dyDescent="0.3">
      <c r="L1732" s="3">
        <v>96.126101641272854</v>
      </c>
    </row>
    <row r="1733" spans="12:12" ht="14" x14ac:dyDescent="0.3">
      <c r="L1733" s="3">
        <v>17.460317460317459</v>
      </c>
    </row>
    <row r="1734" spans="12:12" ht="14" x14ac:dyDescent="0.3">
      <c r="L1734" s="3">
        <v>55.873015873015873</v>
      </c>
    </row>
    <row r="1735" spans="12:12" ht="14" x14ac:dyDescent="0.3">
      <c r="L1735" s="3">
        <v>251.42857142857139</v>
      </c>
    </row>
    <row r="1736" spans="12:12" ht="14" x14ac:dyDescent="0.3">
      <c r="L1736" s="3">
        <v>6.9841269841269842</v>
      </c>
    </row>
    <row r="1737" spans="12:12" ht="14" x14ac:dyDescent="0.3">
      <c r="L1737" s="3">
        <v>3.4920634920634921</v>
      </c>
    </row>
    <row r="1738" spans="12:12" ht="14" x14ac:dyDescent="0.3">
      <c r="L1738" s="3">
        <v>41.904761904761898</v>
      </c>
    </row>
    <row r="1739" spans="12:12" ht="14" x14ac:dyDescent="0.3">
      <c r="L1739" s="3">
        <v>12.222222222222221</v>
      </c>
    </row>
    <row r="1740" spans="12:12" ht="14" x14ac:dyDescent="0.3">
      <c r="L1740" s="3">
        <v>670.47619047619025</v>
      </c>
    </row>
    <row r="1741" spans="12:12" ht="14" x14ac:dyDescent="0.3">
      <c r="L1741" s="3">
        <v>57.619047619047606</v>
      </c>
    </row>
    <row r="1742" spans="12:12" ht="14" x14ac:dyDescent="0.3">
      <c r="L1742" s="3">
        <v>4.3650793650793647</v>
      </c>
    </row>
    <row r="1743" spans="12:12" ht="14" x14ac:dyDescent="0.3">
      <c r="L1743" s="3">
        <v>111.74603174603175</v>
      </c>
    </row>
    <row r="1744" spans="12:12" ht="14" x14ac:dyDescent="0.3">
      <c r="L1744" s="3">
        <v>14.841269841269838</v>
      </c>
    </row>
    <row r="1745" spans="12:12" ht="14" x14ac:dyDescent="0.3">
      <c r="L1745" s="3">
        <v>20.952380952380949</v>
      </c>
    </row>
    <row r="1746" spans="12:12" ht="14" x14ac:dyDescent="0.3">
      <c r="L1746" s="3">
        <v>85.555555555555557</v>
      </c>
    </row>
    <row r="1747" spans="12:12" ht="14" x14ac:dyDescent="0.3">
      <c r="L1747" s="3">
        <v>10.476190476190474</v>
      </c>
    </row>
    <row r="1748" spans="12:12" ht="14" x14ac:dyDescent="0.3">
      <c r="L1748" s="3">
        <v>34.920634920634924</v>
      </c>
    </row>
    <row r="1749" spans="12:12" ht="14" x14ac:dyDescent="0.3">
      <c r="L1749" s="3">
        <v>13.968253968253968</v>
      </c>
    </row>
    <row r="1750" spans="12:12" ht="14" x14ac:dyDescent="0.3">
      <c r="L1750" s="3">
        <v>584.43476007848483</v>
      </c>
    </row>
    <row r="1751" spans="12:12" ht="14" x14ac:dyDescent="0.3">
      <c r="L1751" s="3">
        <v>11.349206349206348</v>
      </c>
    </row>
    <row r="1752" spans="12:12" ht="14" x14ac:dyDescent="0.3">
      <c r="L1752" s="3">
        <v>768.25396825396831</v>
      </c>
    </row>
    <row r="1753" spans="12:12" ht="14" x14ac:dyDescent="0.3">
      <c r="L1753" s="3">
        <v>1.746031746031746</v>
      </c>
    </row>
    <row r="1754" spans="12:12" ht="14" x14ac:dyDescent="0.3">
      <c r="L1754" s="3">
        <v>474.92063492063471</v>
      </c>
    </row>
    <row r="1755" spans="12:12" ht="14" x14ac:dyDescent="0.3">
      <c r="L1755" s="3">
        <v>62.857142857142847</v>
      </c>
    </row>
    <row r="1756" spans="12:12" ht="14" x14ac:dyDescent="0.3">
      <c r="L1756" s="3">
        <v>34.920634920634917</v>
      </c>
    </row>
    <row r="1757" spans="12:12" ht="14" x14ac:dyDescent="0.3">
      <c r="L1757" s="3">
        <v>20.952380952380949</v>
      </c>
    </row>
    <row r="1758" spans="12:12" ht="14" x14ac:dyDescent="0.3">
      <c r="L1758" s="3">
        <v>8.7301587301587293</v>
      </c>
    </row>
    <row r="1759" spans="12:12" ht="14" x14ac:dyDescent="0.3">
      <c r="L1759" s="3">
        <v>3.4920634920634921</v>
      </c>
    </row>
    <row r="1760" spans="12:12" ht="14" x14ac:dyDescent="0.3">
      <c r="L1760" s="3">
        <v>6.9841269841269842</v>
      </c>
    </row>
    <row r="1761" spans="12:12" ht="14" x14ac:dyDescent="0.3">
      <c r="L1761" s="3">
        <v>6.9841269841269842</v>
      </c>
    </row>
    <row r="1762" spans="12:12" ht="14" x14ac:dyDescent="0.3">
      <c r="L1762" s="3">
        <v>6.9841269841269842</v>
      </c>
    </row>
  </sheetData>
  <phoneticPr fontId="12" type="noConversion"/>
  <conditionalFormatting sqref="H31:J32">
    <cfRule type="cellIs" dxfId="7" priority="2" operator="equal">
      <formula>0</formula>
    </cfRule>
  </conditionalFormatting>
  <conditionalFormatting sqref="I15:K17 I22:K24 L39:L48">
    <cfRule type="cellIs" dxfId="6" priority="5" operator="equal">
      <formula>0</formula>
    </cfRule>
  </conditionalFormatting>
  <conditionalFormatting sqref="N39:P48">
    <cfRule type="cellIs" dxfId="5" priority="4" operator="equal">
      <formula>0</formula>
    </cfRule>
  </conditionalFormatting>
  <pageMargins left="0.7" right="0.7" top="0.75" bottom="0.75" header="0.3" footer="0.3"/>
  <tableParts count="4">
    <tablePart r:id="rId1"/>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2DD85D91-FE59-40A9-8380-8235A0CE1E38}">
          <x14:formula1>
            <xm:f>'3.1 Mix électrique'!$B$5:$B$142</xm:f>
          </x14:formula1>
          <xm:sqref>F39:F48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E2FC-3E1C-4619-9C64-B01146FFA0C0}">
  <sheetPr>
    <tabColor theme="5" tint="0.79998168889431442"/>
  </sheetPr>
  <dimension ref="A2:K66"/>
  <sheetViews>
    <sheetView showGridLines="0" zoomScaleNormal="40" workbookViewId="0">
      <selection activeCell="F21" sqref="F21"/>
    </sheetView>
  </sheetViews>
  <sheetFormatPr baseColWidth="10" defaultColWidth="8.75" defaultRowHeight="14" outlineLevelRow="1" x14ac:dyDescent="0.3"/>
  <cols>
    <col min="1" max="1" width="47.83203125" style="23" customWidth="1"/>
    <col min="2" max="2" width="94.1640625" style="23" customWidth="1"/>
    <col min="3" max="3" width="29.5" style="23" customWidth="1"/>
    <col min="4" max="4" width="27.1640625" style="23" customWidth="1"/>
    <col min="5" max="5" width="21.4140625" style="23" customWidth="1"/>
    <col min="6" max="6" width="21.9140625" style="23" customWidth="1"/>
    <col min="7" max="7" width="26.4140625" style="23" customWidth="1"/>
    <col min="8" max="8" width="25.9140625" style="23" customWidth="1"/>
    <col min="9" max="9" width="26.5" style="23" customWidth="1"/>
    <col min="10" max="16384" width="8.75" style="23"/>
  </cols>
  <sheetData>
    <row r="2" spans="1:7" ht="15.5" x14ac:dyDescent="0.35">
      <c r="A2" s="127" t="s">
        <v>215</v>
      </c>
      <c r="B2"/>
    </row>
    <row r="3" spans="1:7" ht="15.5" x14ac:dyDescent="0.35">
      <c r="A3"/>
      <c r="B3" s="113" t="s">
        <v>216</v>
      </c>
    </row>
    <row r="4" spans="1:7" ht="28" x14ac:dyDescent="0.3">
      <c r="A4"/>
      <c r="B4" s="147" t="s">
        <v>227</v>
      </c>
    </row>
    <row r="5" spans="1:7" ht="28" x14ac:dyDescent="0.3">
      <c r="A5"/>
      <c r="B5" s="225" t="s">
        <v>228</v>
      </c>
    </row>
    <row r="6" spans="1:7" ht="28" x14ac:dyDescent="0.3">
      <c r="A6"/>
      <c r="B6" s="228" t="s">
        <v>229</v>
      </c>
    </row>
    <row r="7" spans="1:7" ht="28" x14ac:dyDescent="0.3">
      <c r="A7"/>
      <c r="B7" s="229" t="s">
        <v>230</v>
      </c>
    </row>
    <row r="8" spans="1:7" x14ac:dyDescent="0.3">
      <c r="B8" s="119" t="s">
        <v>225</v>
      </c>
    </row>
    <row r="10" spans="1:7" ht="15.5" x14ac:dyDescent="0.35">
      <c r="A10" s="127" t="s">
        <v>620</v>
      </c>
    </row>
    <row r="11" spans="1:7" x14ac:dyDescent="0.3">
      <c r="B11" s="105" t="s">
        <v>621</v>
      </c>
      <c r="C11" s="106">
        <f>SUM(Cartographie_des_résultats_des_appareils_par_sujet[Émissions totales Dispositifs (kgCO2e)])/1000</f>
        <v>23.771283788666668</v>
      </c>
    </row>
    <row r="12" spans="1:7" x14ac:dyDescent="0.3">
      <c r="B12" s="107" t="str">
        <f>"Champ d'application 2 "&amp;B11</f>
        <v>Champ d'application 2 Émissions de dispositifs (tCO2e)</v>
      </c>
      <c r="C12" s="106">
        <f>SUM(Cartographie_des_appareils_poste_de_travail_ordinateur_portable[Champ d''application 2 (kgC02e)],Cartographie_des_appareils_poste_de_travail_ordinateur_de_bureau[Champ d''application 2 (kgC02e)],Cartographie_des_appareils_écrans[Champ d''application 2 (kgC02e)],Cartographie_des_appareils_Smartphones[Champ d''application 2 (kgC02e)])/1000</f>
        <v>9.7004568970000005</v>
      </c>
    </row>
    <row r="13" spans="1:7" x14ac:dyDescent="0.3">
      <c r="B13" s="107" t="str">
        <f>"Champ d'application 3 "&amp;B11</f>
        <v>Champ d'application 3 Émissions de dispositifs (tCO2e)</v>
      </c>
      <c r="C13" s="106">
        <f>SUM(Cartographie_des_appareils_poste_de_travail_ordinateur_portable[Champ d''application 3 (kgC02e)],Cartographie_des_appareils_poste_de_travail_ordinateur_de_bureau[Champ d''application 3 (kgC02e)],Cartographie_des_appareils_écrans[Champ d''application 3 (kgC02e)],Cartographie_des_appareils_Smartphones[Champ d''application 3 (kgC02e)])/1000</f>
        <v>14.070826891666666</v>
      </c>
    </row>
    <row r="15" spans="1:7" ht="28" outlineLevel="1" x14ac:dyDescent="0.3">
      <c r="B15" s="74" t="s">
        <v>417</v>
      </c>
      <c r="C15" s="74" t="s">
        <v>819</v>
      </c>
      <c r="D15" s="74" t="s">
        <v>561</v>
      </c>
      <c r="E15" s="74" t="s">
        <v>722</v>
      </c>
      <c r="F15" s="74" t="s">
        <v>560</v>
      </c>
      <c r="G15" s="74" t="s">
        <v>117</v>
      </c>
    </row>
    <row r="16" spans="1:7" outlineLevel="1" x14ac:dyDescent="0.3">
      <c r="B16" t="s">
        <v>0</v>
      </c>
      <c r="C16" s="94">
        <f>SUM(Cartographie_des_résultats_des_appareils_par_sujet[[#This Row],[Poste de travail - Ordinateur portable]:[Smartphones]])</f>
        <v>0</v>
      </c>
      <c r="D16" s="94">
        <f>SUMIF(Cartographie_des_appareils_poste_de_travail_ordinateur_portable[Sujet du NIST],Cartographie_des_résultats_des_appareils_par_sujet[[#This Row],[Sujet]],Cartographie_des_appareils_poste_de_travail_ordinateur_portable[Émissions totales (kgC02e)])</f>
        <v>0</v>
      </c>
      <c r="E16" s="94">
        <f>SUMIF(Cartographie_des_appareils_poste_de_travail_ordinateur_de_bureau[Sujet du NIST],Cartographie_des_résultats_des_appareils_par_sujet[[#This Row],[Sujet]],Cartographie_des_appareils_poste_de_travail_ordinateur_de_bureau[Émissions totales (kgC02e)])</f>
        <v>0</v>
      </c>
      <c r="F16" s="94">
        <f>SUMIF(Cartographie_des_appareils_écrans[Sujet du NIST],Cartographie_des_résultats_des_appareils_par_sujet[[#This Row],[Sujet]],Cartographie_des_appareils_écrans[Émissions totales (kgC02e)])</f>
        <v>0</v>
      </c>
      <c r="G16" s="94">
        <f>SUMIF(Cartographie_des_appareils_Smartphones[Sujet du NIST],Cartographie_des_résultats_des_appareils_par_sujet[[#This Row],[Sujet]],Cartographie_des_appareils_Smartphones[Émissions totales (kgC02e)])</f>
        <v>0</v>
      </c>
    </row>
    <row r="17" spans="1:7" outlineLevel="1" x14ac:dyDescent="0.3">
      <c r="B17" t="s">
        <v>1</v>
      </c>
      <c r="C17" s="94">
        <f>SUM(Cartographie_des_résultats_des_appareils_par_sujet[[#This Row],[Poste de travail - Ordinateur portable]:[Smartphones]])</f>
        <v>0</v>
      </c>
      <c r="D17" s="94">
        <f>SUMIF(Cartographie_des_appareils_poste_de_travail_ordinateur_portable[Sujet du NIST],Cartographie_des_résultats_des_appareils_par_sujet[[#This Row],[Sujet]],Cartographie_des_appareils_poste_de_travail_ordinateur_portable[Émissions totales (kgC02e)])</f>
        <v>0</v>
      </c>
      <c r="E17" s="94">
        <f>SUMIF(Cartographie_des_appareils_poste_de_travail_ordinateur_de_bureau[Sujet du NIST],Cartographie_des_résultats_des_appareils_par_sujet[[#This Row],[Sujet]],Cartographie_des_appareils_poste_de_travail_ordinateur_de_bureau[Émissions totales (kgC02e)])</f>
        <v>0</v>
      </c>
      <c r="F17" s="94">
        <f>SUMIF(Cartographie_des_appareils_écrans[Sujet du NIST],Cartographie_des_résultats_des_appareils_par_sujet[[#This Row],[Sujet]],Cartographie_des_appareils_écrans[Émissions totales (kgC02e)])</f>
        <v>0</v>
      </c>
      <c r="G17" s="94">
        <f>SUMIF(Cartographie_des_appareils_Smartphones[Sujet du NIST],Cartographie_des_résultats_des_appareils_par_sujet[[#This Row],[Sujet]],Cartographie_des_appareils_Smartphones[Émissions totales (kgC02e)])</f>
        <v>0</v>
      </c>
    </row>
    <row r="18" spans="1:7" outlineLevel="1" x14ac:dyDescent="0.3">
      <c r="B18" t="s">
        <v>2</v>
      </c>
      <c r="C18" s="94">
        <f>SUM(Cartographie_des_résultats_des_appareils_par_sujet[[#This Row],[Poste de travail - Ordinateur portable]:[Smartphones]])</f>
        <v>0</v>
      </c>
      <c r="D18" s="94">
        <f>SUMIF(Cartographie_des_appareils_poste_de_travail_ordinateur_portable[Sujet du NIST],Cartographie_des_résultats_des_appareils_par_sujet[[#This Row],[Sujet]],Cartographie_des_appareils_poste_de_travail_ordinateur_portable[Émissions totales (kgC02e)])</f>
        <v>0</v>
      </c>
      <c r="E18" s="94">
        <f>SUMIF(Cartographie_des_appareils_poste_de_travail_ordinateur_de_bureau[Sujet du NIST],Cartographie_des_résultats_des_appareils_par_sujet[[#This Row],[Sujet]],Cartographie_des_appareils_poste_de_travail_ordinateur_de_bureau[Émissions totales (kgC02e)])</f>
        <v>0</v>
      </c>
      <c r="F18" s="94">
        <f>SUMIF(Cartographie_des_appareils_écrans[Sujet du NIST],Cartographie_des_résultats_des_appareils_par_sujet[[#This Row],[Sujet]],Cartographie_des_appareils_écrans[Émissions totales (kgC02e)])</f>
        <v>0</v>
      </c>
      <c r="G18" s="94">
        <f>SUMIF(Cartographie_des_appareils_Smartphones[Sujet du NIST],Cartographie_des_résultats_des_appareils_par_sujet[[#This Row],[Sujet]],Cartographie_des_appareils_Smartphones[Émissions totales (kgC02e)])</f>
        <v>0</v>
      </c>
    </row>
    <row r="19" spans="1:7" outlineLevel="1" x14ac:dyDescent="0.3">
      <c r="B19" t="s">
        <v>3</v>
      </c>
      <c r="C19" s="94">
        <f>SUM(Cartographie_des_résultats_des_appareils_par_sujet[[#This Row],[Poste de travail - Ordinateur portable]:[Smartphones]])</f>
        <v>0</v>
      </c>
      <c r="D19" s="94">
        <f>SUMIF(Cartographie_des_appareils_poste_de_travail_ordinateur_portable[Sujet du NIST],Cartographie_des_résultats_des_appareils_par_sujet[[#This Row],[Sujet]],Cartographie_des_appareils_poste_de_travail_ordinateur_portable[Émissions totales (kgC02e)])</f>
        <v>0</v>
      </c>
      <c r="E19" s="94">
        <f>SUMIF(Cartographie_des_appareils_poste_de_travail_ordinateur_de_bureau[Sujet du NIST],Cartographie_des_résultats_des_appareils_par_sujet[[#This Row],[Sujet]],Cartographie_des_appareils_poste_de_travail_ordinateur_de_bureau[Émissions totales (kgC02e)])</f>
        <v>0</v>
      </c>
      <c r="F19" s="94">
        <f>SUMIF(Cartographie_des_appareils_écrans[Sujet du NIST],Cartographie_des_résultats_des_appareils_par_sujet[[#This Row],[Sujet]],Cartographie_des_appareils_écrans[Émissions totales (kgC02e)])</f>
        <v>0</v>
      </c>
      <c r="G19" s="94">
        <f>SUMIF(Cartographie_des_appareils_Smartphones[Sujet du NIST],Cartographie_des_résultats_des_appareils_par_sujet[[#This Row],[Sujet]],Cartographie_des_appareils_Smartphones[Émissions totales (kgC02e)])</f>
        <v>0</v>
      </c>
    </row>
    <row r="20" spans="1:7" outlineLevel="1" x14ac:dyDescent="0.3">
      <c r="B20" t="s">
        <v>4</v>
      </c>
      <c r="C20" s="94">
        <f>SUM(Cartographie_des_résultats_des_appareils_par_sujet[[#This Row],[Poste de travail - Ordinateur portable]:[Smartphones]])</f>
        <v>0</v>
      </c>
      <c r="D20" s="94">
        <f>SUMIF(Cartographie_des_appareils_poste_de_travail_ordinateur_portable[Sujet du NIST],Cartographie_des_résultats_des_appareils_par_sujet[[#This Row],[Sujet]],Cartographie_des_appareils_poste_de_travail_ordinateur_portable[Émissions totales (kgC02e)])</f>
        <v>0</v>
      </c>
      <c r="E20" s="94">
        <f>SUMIF(Cartographie_des_appareils_poste_de_travail_ordinateur_de_bureau[Sujet du NIST],Cartographie_des_résultats_des_appareils_par_sujet[[#This Row],[Sujet]],Cartographie_des_appareils_poste_de_travail_ordinateur_de_bureau[Émissions totales (kgC02e)])</f>
        <v>0</v>
      </c>
      <c r="F20" s="94">
        <f>SUMIF(Cartographie_des_appareils_écrans[Sujet du NIST],Cartographie_des_résultats_des_appareils_par_sujet[[#This Row],[Sujet]],Cartographie_des_appareils_écrans[Émissions totales (kgC02e)])</f>
        <v>0</v>
      </c>
      <c r="G20" s="94">
        <f>SUMIF(Cartographie_des_appareils_Smartphones[Sujet du NIST],Cartographie_des_résultats_des_appareils_par_sujet[[#This Row],[Sujet]],Cartographie_des_appareils_Smartphones[Émissions totales (kgC02e)])</f>
        <v>0</v>
      </c>
    </row>
    <row r="21" spans="1:7" outlineLevel="1" x14ac:dyDescent="0.3">
      <c r="B21" t="s">
        <v>5</v>
      </c>
      <c r="C21" s="94">
        <f>SUM(Cartographie_des_résultats_des_appareils_par_sujet[[#This Row],[Poste de travail - Ordinateur portable]:[Smartphones]])</f>
        <v>1596.0111374999999</v>
      </c>
      <c r="D21" s="94">
        <f>SUMIF(Cartographie_des_appareils_poste_de_travail_ordinateur_portable[Sujet du NIST],Cartographie_des_résultats_des_appareils_par_sujet[[#This Row],[Sujet]],Cartographie_des_appareils_poste_de_travail_ordinateur_portable[Émissions totales (kgC02e)])</f>
        <v>1349.8297499999999</v>
      </c>
      <c r="E21" s="94">
        <f>SUMIF(Cartographie_des_appareils_poste_de_travail_ordinateur_de_bureau[Sujet du NIST],Cartographie_des_résultats_des_appareils_par_sujet[[#This Row],[Sujet]],Cartographie_des_appareils_poste_de_travail_ordinateur_de_bureau[Émissions totales (kgC02e)])</f>
        <v>246.18138750000003</v>
      </c>
      <c r="F21" s="94">
        <f>SUMIF(Cartographie_des_appareils_écrans[Sujet du NIST],Cartographie_des_résultats_des_appareils_par_sujet[[#This Row],[Sujet]],Cartographie_des_appareils_écrans[Émissions totales (kgC02e)])</f>
        <v>0</v>
      </c>
      <c r="G21" s="94">
        <f>SUMIF(Cartographie_des_appareils_Smartphones[Sujet du NIST],Cartographie_des_résultats_des_appareils_par_sujet[[#This Row],[Sujet]],Cartographie_des_appareils_Smartphones[Émissions totales (kgC02e)])</f>
        <v>0</v>
      </c>
    </row>
    <row r="22" spans="1:7" outlineLevel="1" x14ac:dyDescent="0.3">
      <c r="B22" t="s">
        <v>6</v>
      </c>
      <c r="C22" s="94">
        <f>SUM(Cartographie_des_résultats_des_appareils_par_sujet[[#This Row],[Poste de travail - Ordinateur portable]:[Smartphones]])</f>
        <v>21934.199041666667</v>
      </c>
      <c r="D22" s="94">
        <f>SUMIF(Cartographie_des_appareils_poste_de_travail_ordinateur_portable[Sujet du NIST],Cartographie_des_résultats_des_appareils_par_sujet[[#This Row],[Sujet]],Cartographie_des_appareils_poste_de_travail_ordinateur_portable[Émissions totales (kgC02e)])</f>
        <v>13498.297500000001</v>
      </c>
      <c r="E22" s="94">
        <f>SUMIF(Cartographie_des_appareils_poste_de_travail_ordinateur_de_bureau[Sujet du NIST],Cartographie_des_résultats_des_appareils_par_sujet[[#This Row],[Sujet]],Cartographie_des_appareils_poste_de_travail_ordinateur_de_bureau[Émissions totales (kgC02e)])</f>
        <v>2461.8138750000003</v>
      </c>
      <c r="F22" s="94">
        <f>SUMIF(Cartographie_des_appareils_écrans[Sujet du NIST],Cartographie_des_résultats_des_appareils_par_sujet[[#This Row],[Sujet]],Cartographie_des_appareils_écrans[Émissions totales (kgC02e)])</f>
        <v>5328.5125000000007</v>
      </c>
      <c r="G22" s="94">
        <f>SUMIF(Cartographie_des_appareils_Smartphones[Sujet du NIST],Cartographie_des_résultats_des_appareils_par_sujet[[#This Row],[Sujet]],Cartographie_des_appareils_Smartphones[Émissions totales (kgC02e)])</f>
        <v>645.57516666666641</v>
      </c>
    </row>
    <row r="23" spans="1:7" outlineLevel="1" x14ac:dyDescent="0.3">
      <c r="B23" t="s">
        <v>7</v>
      </c>
      <c r="C23" s="94">
        <f>SUM(Cartographie_des_résultats_des_appareils_par_sujet[[#This Row],[Poste de travail - Ordinateur portable]:[Smartphones]])</f>
        <v>0</v>
      </c>
      <c r="D23" s="94">
        <f>SUMIF(Cartographie_des_appareils_poste_de_travail_ordinateur_portable[Sujet du NIST],Cartographie_des_résultats_des_appareils_par_sujet[[#This Row],[Sujet]],Cartographie_des_appareils_poste_de_travail_ordinateur_portable[Émissions totales (kgC02e)])</f>
        <v>0</v>
      </c>
      <c r="E23" s="94">
        <f>SUMIF(Cartographie_des_appareils_poste_de_travail_ordinateur_de_bureau[Sujet du NIST],Cartographie_des_résultats_des_appareils_par_sujet[[#This Row],[Sujet]],Cartographie_des_appareils_poste_de_travail_ordinateur_de_bureau[Émissions totales (kgC02e)])</f>
        <v>0</v>
      </c>
      <c r="F23" s="94">
        <f>SUMIF(Cartographie_des_appareils_écrans[Sujet du NIST],Cartographie_des_résultats_des_appareils_par_sujet[[#This Row],[Sujet]],Cartographie_des_appareils_écrans[Émissions totales (kgC02e)])</f>
        <v>0</v>
      </c>
      <c r="G23" s="94">
        <f>SUMIF(Cartographie_des_appareils_Smartphones[Sujet du NIST],Cartographie_des_résultats_des_appareils_par_sujet[[#This Row],[Sujet]],Cartographie_des_appareils_Smartphones[Émissions totales (kgC02e)])</f>
        <v>0</v>
      </c>
    </row>
    <row r="24" spans="1:7" outlineLevel="1" x14ac:dyDescent="0.3">
      <c r="B24" t="s">
        <v>8</v>
      </c>
      <c r="C24" s="94">
        <f>SUM(Cartographie_des_résultats_des_appareils_par_sujet[[#This Row],[Poste de travail - Ordinateur portable]:[Smartphones]])</f>
        <v>0</v>
      </c>
      <c r="D24" s="94">
        <f>SUMIF(Cartographie_des_appareils_poste_de_travail_ordinateur_portable[Sujet du NIST],Cartographie_des_résultats_des_appareils_par_sujet[[#This Row],[Sujet]],Cartographie_des_appareils_poste_de_travail_ordinateur_portable[Émissions totales (kgC02e)])</f>
        <v>0</v>
      </c>
      <c r="E24" s="94">
        <f>SUMIF(Cartographie_des_appareils_poste_de_travail_ordinateur_de_bureau[Sujet du NIST],Cartographie_des_résultats_des_appareils_par_sujet[[#This Row],[Sujet]],Cartographie_des_appareils_poste_de_travail_ordinateur_de_bureau[Émissions totales (kgC02e)])</f>
        <v>0</v>
      </c>
      <c r="F24" s="94">
        <f>SUMIF(Cartographie_des_appareils_écrans[Sujet du NIST],Cartographie_des_résultats_des_appareils_par_sujet[[#This Row],[Sujet]],Cartographie_des_appareils_écrans[Émissions totales (kgC02e)])</f>
        <v>0</v>
      </c>
      <c r="G24" s="94">
        <f>SUMIF(Cartographie_des_appareils_Smartphones[Sujet du NIST],Cartographie_des_résultats_des_appareils_par_sujet[[#This Row],[Sujet]],Cartographie_des_appareils_Smartphones[Émissions totales (kgC02e)])</f>
        <v>0</v>
      </c>
    </row>
    <row r="25" spans="1:7" outlineLevel="1" x14ac:dyDescent="0.3">
      <c r="B25" t="s">
        <v>9</v>
      </c>
      <c r="C25" s="94">
        <f>SUM(Cartographie_des_résultats_des_appareils_par_sujet[[#This Row],[Poste de travail - Ordinateur portable]:[Smartphones]])</f>
        <v>0</v>
      </c>
      <c r="D25" s="94">
        <f>SUMIF(Cartographie_des_appareils_poste_de_travail_ordinateur_portable[Sujet du NIST],Cartographie_des_résultats_des_appareils_par_sujet[[#This Row],[Sujet]],Cartographie_des_appareils_poste_de_travail_ordinateur_portable[Émissions totales (kgC02e)])</f>
        <v>0</v>
      </c>
      <c r="E25" s="94">
        <f>SUMIF(Cartographie_des_appareils_poste_de_travail_ordinateur_de_bureau[Sujet du NIST],Cartographie_des_résultats_des_appareils_par_sujet[[#This Row],[Sujet]],Cartographie_des_appareils_poste_de_travail_ordinateur_de_bureau[Émissions totales (kgC02e)])</f>
        <v>0</v>
      </c>
      <c r="F25" s="94">
        <f>SUMIF(Cartographie_des_appareils_écrans[Sujet du NIST],Cartographie_des_résultats_des_appareils_par_sujet[[#This Row],[Sujet]],Cartographie_des_appareils_écrans[Émissions totales (kgC02e)])</f>
        <v>0</v>
      </c>
      <c r="G25" s="94">
        <f>SUMIF(Cartographie_des_appareils_Smartphones[Sujet du NIST],Cartographie_des_résultats_des_appareils_par_sujet[[#This Row],[Sujet]],Cartographie_des_appareils_Smartphones[Émissions totales (kgC02e)])</f>
        <v>0</v>
      </c>
    </row>
    <row r="26" spans="1:7" outlineLevel="1" x14ac:dyDescent="0.3">
      <c r="B26" t="s">
        <v>10</v>
      </c>
      <c r="C26" s="94">
        <f>SUM(Cartographie_des_résultats_des_appareils_par_sujet[[#This Row],[Poste de travail - Ordinateur portable]:[Smartphones]])</f>
        <v>0</v>
      </c>
      <c r="D26" s="94">
        <f>SUMIF(Cartographie_des_appareils_poste_de_travail_ordinateur_portable[Sujet du NIST],Cartographie_des_résultats_des_appareils_par_sujet[[#This Row],[Sujet]],Cartographie_des_appareils_poste_de_travail_ordinateur_portable[Émissions totales (kgC02e)])</f>
        <v>0</v>
      </c>
      <c r="E26" s="94">
        <f>SUMIF(Cartographie_des_appareils_poste_de_travail_ordinateur_de_bureau[Sujet du NIST],Cartographie_des_résultats_des_appareils_par_sujet[[#This Row],[Sujet]],Cartographie_des_appareils_poste_de_travail_ordinateur_de_bureau[Émissions totales (kgC02e)])</f>
        <v>0</v>
      </c>
      <c r="F26" s="94">
        <f>SUMIF(Cartographie_des_appareils_écrans[Sujet du NIST],Cartographie_des_résultats_des_appareils_par_sujet[[#This Row],[Sujet]],Cartographie_des_appareils_écrans[Émissions totales (kgC02e)])</f>
        <v>0</v>
      </c>
      <c r="G26" s="94">
        <f>SUMIF(Cartographie_des_appareils_Smartphones[Sujet du NIST],Cartographie_des_résultats_des_appareils_par_sujet[[#This Row],[Sujet]],Cartographie_des_appareils_Smartphones[Émissions totales (kgC02e)])</f>
        <v>0</v>
      </c>
    </row>
    <row r="27" spans="1:7" outlineLevel="1" x14ac:dyDescent="0.3">
      <c r="B27" t="s">
        <v>11</v>
      </c>
      <c r="C27" s="94">
        <f>SUM(Cartographie_des_résultats_des_appareils_par_sujet[[#This Row],[Poste de travail - Ordinateur portable]:[Smartphones]])</f>
        <v>241.07360950000003</v>
      </c>
      <c r="D27" s="94">
        <f>SUMIF(Cartographie_des_appareils_poste_de_travail_ordinateur_portable[Sujet du NIST],Cartographie_des_résultats_des_appareils_par_sujet[[#This Row],[Sujet]],Cartographie_des_appareils_poste_de_travail_ordinateur_portable[Émissions totales (kgC02e)])</f>
        <v>143.78630700000002</v>
      </c>
      <c r="E27" s="94">
        <f>SUMIF(Cartographie_des_appareils_poste_de_travail_ordinateur_de_bureau[Sujet du NIST],Cartographie_des_résultats_des_appareils_par_sujet[[#This Row],[Sujet]],Cartographie_des_appareils_poste_de_travail_ordinateur_de_bureau[Émissions totales (kgC02e)])</f>
        <v>97.28730250000001</v>
      </c>
      <c r="F27" s="94">
        <f>SUMIF(Cartographie_des_appareils_écrans[Sujet du NIST],Cartographie_des_résultats_des_appareils_par_sujet[[#This Row],[Sujet]],Cartographie_des_appareils_écrans[Émissions totales (kgC02e)])</f>
        <v>0</v>
      </c>
      <c r="G27" s="94">
        <f>SUMIF(Cartographie_des_appareils_Smartphones[Sujet du NIST],Cartographie_des_résultats_des_appareils_par_sujet[[#This Row],[Sujet]],Cartographie_des_appareils_Smartphones[Émissions totales (kgC02e)])</f>
        <v>0</v>
      </c>
    </row>
    <row r="28" spans="1:7" outlineLevel="1" x14ac:dyDescent="0.3">
      <c r="B28" t="s">
        <v>12</v>
      </c>
      <c r="C28" s="94">
        <f>SUM(Cartographie_des_résultats_des_appareils_par_sujet[[#This Row],[Poste de travail - Ordinateur portable]:[Smartphones]])</f>
        <v>0</v>
      </c>
      <c r="D28" s="94">
        <f>SUMIF(Cartographie_des_appareils_poste_de_travail_ordinateur_portable[Sujet du NIST],Cartographie_des_résultats_des_appareils_par_sujet[[#This Row],[Sujet]],Cartographie_des_appareils_poste_de_travail_ordinateur_portable[Émissions totales (kgC02e)])</f>
        <v>0</v>
      </c>
      <c r="E28" s="94">
        <f>SUMIF(Cartographie_des_appareils_poste_de_travail_ordinateur_de_bureau[Sujet du NIST],Cartographie_des_résultats_des_appareils_par_sujet[[#This Row],[Sujet]],Cartographie_des_appareils_poste_de_travail_ordinateur_de_bureau[Émissions totales (kgC02e)])</f>
        <v>0</v>
      </c>
      <c r="F28" s="94">
        <f>SUMIF(Cartographie_des_appareils_écrans[Sujet du NIST],Cartographie_des_résultats_des_appareils_par_sujet[[#This Row],[Sujet]],Cartographie_des_appareils_écrans[Émissions totales (kgC02e)])</f>
        <v>0</v>
      </c>
      <c r="G28" s="94">
        <f>SUMIF(Cartographie_des_appareils_Smartphones[Sujet du NIST],Cartographie_des_résultats_des_appareils_par_sujet[[#This Row],[Sujet]],Cartographie_des_appareils_Smartphones[Émissions totales (kgC02e)])</f>
        <v>0</v>
      </c>
    </row>
    <row r="29" spans="1:7" outlineLevel="1" x14ac:dyDescent="0.3">
      <c r="B29" t="s">
        <v>13</v>
      </c>
      <c r="C29" s="94">
        <f>SUM(Cartographie_des_résultats_des_appareils_par_sujet[[#This Row],[Poste de travail - Ordinateur portable]:[Smartphones]])</f>
        <v>0</v>
      </c>
      <c r="D29" s="94">
        <f>SUMIF(Cartographie_des_appareils_poste_de_travail_ordinateur_portable[Sujet du NIST],Cartographie_des_résultats_des_appareils_par_sujet[[#This Row],[Sujet]],Cartographie_des_appareils_poste_de_travail_ordinateur_portable[Émissions totales (kgC02e)])</f>
        <v>0</v>
      </c>
      <c r="E29" s="94">
        <f>SUMIF(Cartographie_des_appareils_poste_de_travail_ordinateur_de_bureau[Sujet du NIST],Cartographie_des_résultats_des_appareils_par_sujet[[#This Row],[Sujet]],Cartographie_des_appareils_poste_de_travail_ordinateur_de_bureau[Émissions totales (kgC02e)])</f>
        <v>0</v>
      </c>
      <c r="F29" s="94">
        <f>SUMIF(Cartographie_des_appareils_écrans[Sujet du NIST],Cartographie_des_résultats_des_appareils_par_sujet[[#This Row],[Sujet]],Cartographie_des_appareils_écrans[Émissions totales (kgC02e)])</f>
        <v>0</v>
      </c>
      <c r="G29" s="94">
        <f>SUMIF(Cartographie_des_appareils_Smartphones[Sujet du NIST],Cartographie_des_résultats_des_appareils_par_sujet[[#This Row],[Sujet]],Cartographie_des_appareils_Smartphones[Émissions totales (kgC02e)])</f>
        <v>0</v>
      </c>
    </row>
    <row r="30" spans="1:7" x14ac:dyDescent="0.3">
      <c r="B30" t="s">
        <v>147</v>
      </c>
      <c r="C30" s="94">
        <f>SUBTOTAL(109,Cartographie_des_résultats_des_appareils_par_sujet[Émissions totales Dispositifs (kgCO2e)])</f>
        <v>23771.283788666668</v>
      </c>
      <c r="D30" s="94">
        <f>SUBTOTAL(109,Cartographie_des_résultats_des_appareils_par_sujet[Poste de travail - Ordinateur portable])</f>
        <v>14991.913557000002</v>
      </c>
      <c r="E30" s="94">
        <f>SUBTOTAL(109,Cartographie_des_résultats_des_appareils_par_sujet[Poste de travail - Ordinateur de bureau])</f>
        <v>2805.2825650000004</v>
      </c>
      <c r="F30" s="94">
        <f>SUBTOTAL(109,Cartographie_des_résultats_des_appareils_par_sujet[Écrans])</f>
        <v>5328.5125000000007</v>
      </c>
      <c r="G30" s="94">
        <f>SUBTOTAL(109,Cartographie_des_résultats_des_appareils_par_sujet[Smartphones])</f>
        <v>645.57516666666641</v>
      </c>
    </row>
    <row r="31" spans="1:7" x14ac:dyDescent="0.3">
      <c r="A31"/>
    </row>
    <row r="32" spans="1:7" ht="40" x14ac:dyDescent="0.3">
      <c r="A32" s="236" t="s">
        <v>561</v>
      </c>
    </row>
    <row r="33" spans="1:11" s="22" customFormat="1" ht="29.5" customHeight="1" x14ac:dyDescent="0.3">
      <c r="B33" s="74" t="s">
        <v>420</v>
      </c>
      <c r="C33" s="74" t="s">
        <v>622</v>
      </c>
      <c r="D33" s="74" t="s">
        <v>298</v>
      </c>
      <c r="E33" s="74" t="s">
        <v>299</v>
      </c>
      <c r="F33" s="74" t="s">
        <v>623</v>
      </c>
      <c r="G33" s="45" t="s">
        <v>567</v>
      </c>
      <c r="H33" s="45" t="s">
        <v>568</v>
      </c>
      <c r="I33" s="45" t="s">
        <v>569</v>
      </c>
    </row>
    <row r="34" spans="1:11" ht="15" customHeight="1" x14ac:dyDescent="0.3">
      <c r="B34" s="120" t="s">
        <v>557</v>
      </c>
      <c r="C34" s="78"/>
      <c r="D34" s="95" t="s">
        <v>49</v>
      </c>
      <c r="E34" s="73" t="str">
        <f>_xlfn.XLOOKUP(Cartographie_des_appareils_poste_de_travail_ordinateur_portable[[#This Row],[Contrôle NIST]],Contrôle_de_référence_NIST[Contrôle NIST],Contrôle_de_référence_NIST[Sujet du NIST])</f>
        <v>GOV</v>
      </c>
      <c r="F34" s="93">
        <v>1</v>
      </c>
      <c r="G34" s="94">
        <f>'1.3 Dispositifs Cyber'!$I$15</f>
        <v>3280.2975000000006</v>
      </c>
      <c r="H34" s="94">
        <f>'1.3 Dispositifs Cyber'!$J$15</f>
        <v>10218</v>
      </c>
      <c r="I34" s="94">
        <f>Cartographie_des_appareils_poste_de_travail_ordinateur_portable[[#This Row],[Champ d''application 2 (kgC02e)]]+Cartographie_des_appareils_poste_de_travail_ordinateur_portable[[#This Row],[Champ d''application 3 (kgC02e)]]</f>
        <v>13498.297500000001</v>
      </c>
      <c r="K34" s="104"/>
    </row>
    <row r="35" spans="1:11" ht="15" customHeight="1" x14ac:dyDescent="0.3">
      <c r="B35" s="120" t="s">
        <v>624</v>
      </c>
      <c r="C35" s="78"/>
      <c r="D35" s="95" t="s">
        <v>41</v>
      </c>
      <c r="E35" s="73" t="str">
        <f>_xlfn.XLOOKUP(Cartographie_des_appareils_poste_de_travail_ordinateur_portable[[#This Row],[Contrôle NIST]],Contrôle_de_référence_NIST[Contrôle NIST],Contrôle_de_référence_NIST[Sujet du NIST])</f>
        <v>ENDPT</v>
      </c>
      <c r="F35" s="93">
        <v>1</v>
      </c>
      <c r="G35" s="94">
        <f>'1.3 Dispositifs Cyber'!I16*Cartographie_des_appareils_poste_de_travail_ordinateur_portable[[#This Row],[% Dédié au cyber]]</f>
        <v>328.02975000000004</v>
      </c>
      <c r="H35" s="94">
        <f>'1.3 Dispositifs Cyber'!J16*Cartographie_des_appareils_poste_de_travail_ordinateur_portable[[#This Row],[% Dédié au cyber]]</f>
        <v>1021.8</v>
      </c>
      <c r="I35" s="94">
        <f>Cartographie_des_appareils_poste_de_travail_ordinateur_portable[[#This Row],[Champ d''application 2 (kgC02e)]]+Cartographie_des_appareils_poste_de_travail_ordinateur_portable[[#This Row],[Champ d''application 3 (kgC02e)]]</f>
        <v>1349.8297499999999</v>
      </c>
      <c r="K35" s="104"/>
    </row>
    <row r="36" spans="1:11" ht="15" customHeight="1" x14ac:dyDescent="0.3">
      <c r="B36" s="120" t="s">
        <v>559</v>
      </c>
      <c r="C36" s="78"/>
      <c r="D36" s="95" t="s">
        <v>78</v>
      </c>
      <c r="E36" s="73" t="str">
        <f>_xlfn.XLOOKUP(Cartographie_des_appareils_poste_de_travail_ordinateur_portable[[#This Row],[Contrôle NIST]],Contrôle_de_référence_NIST[Contrôle NIST],Contrôle_de_référence_NIST[Sujet du NIST])</f>
        <v>RES</v>
      </c>
      <c r="F36" s="93">
        <v>1</v>
      </c>
      <c r="G36" s="94">
        <f>'1.3 Dispositifs Cyber'!I17*Cartographie_des_appareils_poste_de_travail_ordinateur_portable[[#This Row],[% Dédié au cyber]]</f>
        <v>41.606307000000001</v>
      </c>
      <c r="H36" s="94">
        <f>'1.3 Dispositifs Cyber'!J17*Cartographie_des_appareils_poste_de_travail_ordinateur_portable[[#This Row],[% Dédié au cyber]]</f>
        <v>102.18</v>
      </c>
      <c r="I36" s="94">
        <f>Cartographie_des_appareils_poste_de_travail_ordinateur_portable[[#This Row],[Champ d''application 2 (kgC02e)]]+Cartographie_des_appareils_poste_de_travail_ordinateur_portable[[#This Row],[Champ d''application 3 (kgC02e)]]</f>
        <v>143.78630700000002</v>
      </c>
      <c r="K36" s="104"/>
    </row>
    <row r="37" spans="1:11" ht="15" customHeight="1" x14ac:dyDescent="0.3">
      <c r="K37" s="104"/>
    </row>
    <row r="38" spans="1:11" ht="15" customHeight="1" x14ac:dyDescent="0.3">
      <c r="K38" s="104"/>
    </row>
    <row r="39" spans="1:11" ht="15" customHeight="1" x14ac:dyDescent="0.3">
      <c r="A39" s="236" t="s">
        <v>722</v>
      </c>
      <c r="K39" s="104"/>
    </row>
    <row r="40" spans="1:11" ht="29.5" customHeight="1" x14ac:dyDescent="0.3">
      <c r="B40" s="74" t="s">
        <v>420</v>
      </c>
      <c r="C40" s="74" t="s">
        <v>622</v>
      </c>
      <c r="D40" s="74" t="s">
        <v>298</v>
      </c>
      <c r="E40" s="74" t="s">
        <v>299</v>
      </c>
      <c r="F40" s="74" t="s">
        <v>623</v>
      </c>
      <c r="G40" s="45" t="s">
        <v>567</v>
      </c>
      <c r="H40" s="45" t="s">
        <v>568</v>
      </c>
      <c r="I40" s="45" t="s">
        <v>569</v>
      </c>
      <c r="K40" s="104"/>
    </row>
    <row r="41" spans="1:11" ht="15" customHeight="1" x14ac:dyDescent="0.3">
      <c r="B41" s="120" t="s">
        <v>557</v>
      </c>
      <c r="C41" s="131"/>
      <c r="D41" s="95" t="s">
        <v>49</v>
      </c>
      <c r="E41" s="73" t="str">
        <f>_xlfn.XLOOKUP(Cartographie_des_appareils_poste_de_travail_ordinateur_de_bureau[[#This Row],[Contrôle NIST]],Contrôle_de_référence_NIST[Contrôle NIST],Contrôle_de_référence_NIST[Sujet du NIST])</f>
        <v>GOV</v>
      </c>
      <c r="F41" s="93">
        <v>1</v>
      </c>
      <c r="G41" s="94">
        <f>'1.3 Dispositifs Cyber'!$I$22</f>
        <v>1702.1475000000003</v>
      </c>
      <c r="H41" s="94">
        <f>'1.3 Dispositifs Cyber'!$J$22</f>
        <v>759.66637500000002</v>
      </c>
      <c r="I41" s="94">
        <f>Cartographie_des_appareils_poste_de_travail_ordinateur_de_bureau[[#This Row],[Champ d''application 2 (kgC02e)]]+Cartographie_des_appareils_poste_de_travail_ordinateur_de_bureau[[#This Row],[Champ d''application 3 (kgC02e)]]</f>
        <v>2461.8138750000003</v>
      </c>
      <c r="K41" s="104"/>
    </row>
    <row r="42" spans="1:11" x14ac:dyDescent="0.3">
      <c r="B42" s="120" t="s">
        <v>624</v>
      </c>
      <c r="C42" s="131"/>
      <c r="D42" s="95" t="s">
        <v>41</v>
      </c>
      <c r="E42" s="73" t="str">
        <f>_xlfn.XLOOKUP(Cartographie_des_appareils_poste_de_travail_ordinateur_de_bureau[[#This Row],[Contrôle NIST]],Contrôle_de_référence_NIST[Contrôle NIST],Contrôle_de_référence_NIST[Sujet du NIST])</f>
        <v>ENDPT</v>
      </c>
      <c r="F42" s="93">
        <v>1</v>
      </c>
      <c r="G42" s="94">
        <f>'1.3 Dispositifs Cyber'!I23*Cartographie_des_appareils_poste_de_travail_ordinateur_de_bureau[[#This Row],[% Dédié au cyber]]</f>
        <v>170.21475000000004</v>
      </c>
      <c r="H42" s="94">
        <f>'1.3 Dispositifs Cyber'!J23*Cartographie_des_appareils_poste_de_travail_ordinateur_de_bureau[[#This Row],[% Dédié au cyber]]</f>
        <v>75.96663749999999</v>
      </c>
      <c r="I42" s="94">
        <f>Cartographie_des_appareils_poste_de_travail_ordinateur_de_bureau[[#This Row],[Champ d''application 2 (kgC02e)]]+Cartographie_des_appareils_poste_de_travail_ordinateur_de_bureau[[#This Row],[Champ d''application 3 (kgC02e)]]</f>
        <v>246.18138750000003</v>
      </c>
    </row>
    <row r="43" spans="1:11" x14ac:dyDescent="0.3">
      <c r="B43" s="120" t="s">
        <v>559</v>
      </c>
      <c r="C43" s="131"/>
      <c r="D43" s="95" t="s">
        <v>78</v>
      </c>
      <c r="E43" s="73" t="str">
        <f>_xlfn.XLOOKUP(Cartographie_des_appareils_poste_de_travail_ordinateur_de_bureau[[#This Row],[Contrôle NIST]],Contrôle_de_référence_NIST[Contrôle NIST],Contrôle_de_référence_NIST[Sujet du NIST])</f>
        <v>RES</v>
      </c>
      <c r="F43" s="93">
        <v>1</v>
      </c>
      <c r="G43" s="94">
        <f>'1.3 Dispositifs Cyber'!I24*Cartographie_des_appareils_poste_de_travail_ordinateur_de_bureau[[#This Row],[% Dédié au cyber]]</f>
        <v>71.965090000000004</v>
      </c>
      <c r="H43" s="94">
        <f>'1.3 Dispositifs Cyber'!J24*Cartographie_des_appareils_poste_de_travail_ordinateur_de_bureau[[#This Row],[% Dédié au cyber]]</f>
        <v>25.322212499999999</v>
      </c>
      <c r="I43" s="94">
        <f>Cartographie_des_appareils_poste_de_travail_ordinateur_de_bureau[[#This Row],[Champ d''application 2 (kgC02e)]]+Cartographie_des_appareils_poste_de_travail_ordinateur_de_bureau[[#This Row],[Champ d''application 3 (kgC02e)]]</f>
        <v>97.28730250000001</v>
      </c>
    </row>
    <row r="45" spans="1:11" s="22" customFormat="1" ht="15" customHeight="1" x14ac:dyDescent="0.3">
      <c r="B45" s="23"/>
      <c r="C45" s="23"/>
      <c r="D45" s="23"/>
      <c r="E45" s="23"/>
      <c r="F45" s="23"/>
      <c r="G45" s="23"/>
      <c r="H45" s="23"/>
      <c r="I45" s="23"/>
    </row>
    <row r="46" spans="1:11" ht="26.5" customHeight="1" x14ac:dyDescent="0.3">
      <c r="A46" s="236" t="s">
        <v>560</v>
      </c>
      <c r="K46" s="104"/>
    </row>
    <row r="47" spans="1:11" ht="36.5" customHeight="1" x14ac:dyDescent="0.3">
      <c r="B47" s="45" t="s">
        <v>420</v>
      </c>
      <c r="C47" s="74" t="s">
        <v>622</v>
      </c>
      <c r="D47" s="74" t="s">
        <v>298</v>
      </c>
      <c r="E47" s="74" t="s">
        <v>299</v>
      </c>
      <c r="F47" s="45" t="s">
        <v>567</v>
      </c>
      <c r="G47" s="45" t="s">
        <v>568</v>
      </c>
      <c r="H47" s="45" t="s">
        <v>569</v>
      </c>
      <c r="K47" s="104"/>
    </row>
    <row r="48" spans="1:11" ht="15" customHeight="1" x14ac:dyDescent="0.3">
      <c r="B48" s="121" t="s">
        <v>625</v>
      </c>
      <c r="C48" s="79"/>
      <c r="D48" s="96" t="s">
        <v>49</v>
      </c>
      <c r="E48" s="73" t="str">
        <f>_xlfn.XLOOKUP(Cartographie_des_appareils_écrans[[#This Row],[Contrôle NIST]],Contrôle_de_référence_NIST[Contrôle NIST],Contrôle_de_référence_NIST[Sujet du NIST])</f>
        <v>GOV</v>
      </c>
      <c r="F48" s="94" cm="1">
        <f t="array" ref="F48">Appareils_Ecrans[Champ d''application 2 (kgC02e)]</f>
        <v>4076.8875000000003</v>
      </c>
      <c r="G48" s="94" cm="1">
        <f t="array" ref="G48">Appareils_Ecrans[Champ d''application 3 (kgC02e)]</f>
        <v>1251.625</v>
      </c>
      <c r="H48" s="94" cm="1">
        <f t="array" ref="H48">Appareils_Ecrans[Émissions totales (kgC02e)]</f>
        <v>5328.5125000000007</v>
      </c>
      <c r="K48" s="104"/>
    </row>
    <row r="49" spans="1:11" ht="15" customHeight="1" x14ac:dyDescent="0.3">
      <c r="K49" s="104"/>
    </row>
    <row r="50" spans="1:11" ht="15" customHeight="1" x14ac:dyDescent="0.3">
      <c r="K50" s="104"/>
    </row>
    <row r="51" spans="1:11" ht="29" customHeight="1" x14ac:dyDescent="0.3">
      <c r="A51" s="236" t="s">
        <v>117</v>
      </c>
    </row>
    <row r="52" spans="1:11" ht="28" x14ac:dyDescent="0.3">
      <c r="B52" s="45" t="s">
        <v>420</v>
      </c>
      <c r="C52" s="74" t="s">
        <v>622</v>
      </c>
      <c r="D52" s="74" t="s">
        <v>298</v>
      </c>
      <c r="E52" s="74" t="s">
        <v>299</v>
      </c>
      <c r="F52" s="45" t="s">
        <v>567</v>
      </c>
      <c r="G52" s="45" t="s">
        <v>568</v>
      </c>
      <c r="H52" s="45" t="s">
        <v>569</v>
      </c>
    </row>
    <row r="53" spans="1:11" x14ac:dyDescent="0.3">
      <c r="B53" s="121" t="s">
        <v>626</v>
      </c>
      <c r="C53" s="79"/>
      <c r="D53" s="96" t="s">
        <v>49</v>
      </c>
      <c r="E53" s="73" t="str">
        <f>_xlfn.XLOOKUP(Cartographie_des_appareils_Smartphones[[#This Row],[Contrôle NIST]],Contrôle_de_référence_NIST[Contrôle NIST],Contrôle_de_référence_NIST[Sujet du NIST])</f>
        <v>GOV</v>
      </c>
      <c r="F53" s="94" cm="1">
        <f t="array" ref="F53">Appareils_Smartphones[Champ d''application 2 (kgC02e)]</f>
        <v>29.308499999999999</v>
      </c>
      <c r="G53" s="94" cm="1">
        <f t="array" ref="G53">Appareils_Smartphones[Champ d''application 3 (kgC02e)]</f>
        <v>616.26666666666642</v>
      </c>
      <c r="H53" s="94" cm="1">
        <f t="array" ref="H53">Appareils_Smartphones[Émissions totales (kgC02e)]</f>
        <v>645.57516666666641</v>
      </c>
    </row>
    <row r="61" spans="1:11" x14ac:dyDescent="0.3">
      <c r="J61" s="104"/>
    </row>
    <row r="66" spans="10:10" x14ac:dyDescent="0.3">
      <c r="J66" s="104"/>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208D-D1C5-4818-8BE3-BE4BB9671E1A}">
  <sheetPr>
    <tabColor theme="5" tint="0.79998168889431442"/>
  </sheetPr>
  <dimension ref="A2:H36"/>
  <sheetViews>
    <sheetView showGridLines="0" zoomScale="110" zoomScaleNormal="70" workbookViewId="0">
      <selection activeCell="B2" sqref="B2"/>
    </sheetView>
  </sheetViews>
  <sheetFormatPr baseColWidth="10" defaultColWidth="8.75" defaultRowHeight="14" outlineLevelRow="1" x14ac:dyDescent="0.3"/>
  <cols>
    <col min="1" max="1" width="37.5" style="23" customWidth="1"/>
    <col min="2" max="2" width="44.4140625" style="23" customWidth="1"/>
    <col min="3" max="3" width="16.75" style="23" customWidth="1"/>
    <col min="4" max="4" width="20.1640625" style="23" customWidth="1"/>
    <col min="5" max="5" width="20.75" style="23" customWidth="1"/>
    <col min="6" max="6" width="22.4140625" style="23" customWidth="1"/>
    <col min="7" max="8" width="26.4140625" style="23" customWidth="1"/>
    <col min="9" max="9" width="32.5" style="23" customWidth="1"/>
    <col min="10" max="16384" width="8.75" style="23"/>
  </cols>
  <sheetData>
    <row r="2" spans="1:3" ht="15.5" x14ac:dyDescent="0.35">
      <c r="A2" s="127" t="s">
        <v>215</v>
      </c>
      <c r="B2"/>
    </row>
    <row r="3" spans="1:3" ht="15.5" x14ac:dyDescent="0.35">
      <c r="A3"/>
      <c r="B3" s="113" t="s">
        <v>216</v>
      </c>
    </row>
    <row r="4" spans="1:3" ht="28" x14ac:dyDescent="0.3">
      <c r="A4"/>
      <c r="B4" s="147" t="s">
        <v>227</v>
      </c>
    </row>
    <row r="5" spans="1:3" ht="28" x14ac:dyDescent="0.3">
      <c r="A5"/>
      <c r="B5" s="225" t="s">
        <v>228</v>
      </c>
    </row>
    <row r="6" spans="1:3" ht="28" x14ac:dyDescent="0.3">
      <c r="A6"/>
      <c r="B6" s="228" t="s">
        <v>229</v>
      </c>
    </row>
    <row r="7" spans="1:3" ht="28" x14ac:dyDescent="0.3">
      <c r="A7"/>
      <c r="B7" s="229" t="s">
        <v>230</v>
      </c>
    </row>
    <row r="8" spans="1:3" x14ac:dyDescent="0.3">
      <c r="B8" s="119" t="s">
        <v>225</v>
      </c>
    </row>
    <row r="10" spans="1:3" ht="15.5" x14ac:dyDescent="0.35">
      <c r="A10" s="230" t="s">
        <v>620</v>
      </c>
    </row>
    <row r="11" spans="1:3" x14ac:dyDescent="0.3">
      <c r="B11" s="105" t="s">
        <v>627</v>
      </c>
      <c r="C11" s="106">
        <f>SUM(Cartographie_des_résultats_du_réseau_par_sujet[Émissions des appareils (kgCO2e)])/1000</f>
        <v>50.439283268571423</v>
      </c>
    </row>
    <row r="12" spans="1:3" x14ac:dyDescent="0.3">
      <c r="B12" s="107" t="str">
        <f>"Champ d'application 2 "&amp;B11</f>
        <v>Champ d'application 2 Émissions du réseau (tCO2e)</v>
      </c>
      <c r="C12" s="106">
        <f>SUM(Cartographie_des_appareils[Champ d''application 2 (kgC02e)])/1000</f>
        <v>28.8501048</v>
      </c>
    </row>
    <row r="13" spans="1:3" x14ac:dyDescent="0.3">
      <c r="B13" s="107" t="str">
        <f>"Champ d'application 3 "&amp;B11</f>
        <v>Champ d'application 3 Émissions du réseau (tCO2e)</v>
      </c>
      <c r="C13" s="106">
        <f>SUM(Cartographie_des_appareils[Champ d''application 3 (kgC02e)])/1000</f>
        <v>18.952971428571431</v>
      </c>
    </row>
    <row r="15" spans="1:3" ht="42" outlineLevel="1" x14ac:dyDescent="0.3">
      <c r="B15" s="89" t="s">
        <v>417</v>
      </c>
      <c r="C15" s="89" t="s">
        <v>628</v>
      </c>
    </row>
    <row r="16" spans="1:3" outlineLevel="1" x14ac:dyDescent="0.3">
      <c r="B16" s="88" t="s">
        <v>0</v>
      </c>
      <c r="C16" s="108">
        <f>SUMIF(Cartographie_des_appareils[Sujet du NIST],Cartographie_des_résultats_du_réseau_par_sujet[[#This Row],[Sujet]],Cartographie_des_appareils[Émissions totales (kgC02e)])</f>
        <v>0</v>
      </c>
    </row>
    <row r="17" spans="1:3" outlineLevel="1" x14ac:dyDescent="0.3">
      <c r="B17" s="88" t="s">
        <v>1</v>
      </c>
      <c r="C17" s="108">
        <f>SUMIF(Cartographie_des_appareils[Sujet du NIST],Cartographie_des_résultats_du_réseau_par_sujet[[#This Row],[Sujet]],Cartographie_des_appareils[Émissions totales (kgC02e)])</f>
        <v>0</v>
      </c>
    </row>
    <row r="18" spans="1:3" outlineLevel="1" x14ac:dyDescent="0.3">
      <c r="B18" s="88" t="s">
        <v>2</v>
      </c>
      <c r="C18" s="108">
        <f>SUMIF(Cartographie_des_appareils[Sujet du NIST],Cartographie_des_résultats_du_réseau_par_sujet[[#This Row],[Sujet]],Cartographie_des_appareils[Émissions totales (kgC02e)])</f>
        <v>0</v>
      </c>
    </row>
    <row r="19" spans="1:3" outlineLevel="1" x14ac:dyDescent="0.3">
      <c r="B19" s="88" t="s">
        <v>3</v>
      </c>
      <c r="C19" s="108">
        <f>SUMIF(Cartographie_des_appareils[Sujet du NIST],Cartographie_des_résultats_du_réseau_par_sujet[[#This Row],[Sujet]],Cartographie_des_appareils[Émissions totales (kgC02e)])</f>
        <v>0</v>
      </c>
    </row>
    <row r="20" spans="1:3" outlineLevel="1" x14ac:dyDescent="0.3">
      <c r="B20" s="88" t="s">
        <v>4</v>
      </c>
      <c r="C20" s="108">
        <f>SUMIF(Cartographie_des_appareils[Sujet du NIST],Cartographie_des_résultats_du_réseau_par_sujet[[#This Row],[Sujet]],Cartographie_des_appareils[Émissions totales (kgC02e)])</f>
        <v>15972.790834285715</v>
      </c>
    </row>
    <row r="21" spans="1:3" outlineLevel="1" x14ac:dyDescent="0.3">
      <c r="B21" s="88" t="s">
        <v>5</v>
      </c>
      <c r="C21" s="108">
        <f>SUMIF(Cartographie_des_appareils[Sujet du NIST],Cartographie_des_résultats_du_réseau_par_sujet[[#This Row],[Sujet]],Cartographie_des_appareils[Émissions totales (kgC02e)])</f>
        <v>0</v>
      </c>
    </row>
    <row r="22" spans="1:3" outlineLevel="1" x14ac:dyDescent="0.3">
      <c r="B22" s="88" t="s">
        <v>6</v>
      </c>
      <c r="C22" s="108">
        <f>SUMIF(Cartographie_des_appareils[Sujet du NIST],Cartographie_des_résultats_du_réseau_par_sujet[[#This Row],[Sujet]],Cartographie_des_appareils[Émissions totales (kgC02e)])</f>
        <v>0</v>
      </c>
    </row>
    <row r="23" spans="1:3" outlineLevel="1" x14ac:dyDescent="0.3">
      <c r="B23" s="88" t="s">
        <v>7</v>
      </c>
      <c r="C23" s="108">
        <f>SUMIF(Cartographie_des_appareils[Sujet du NIST],Cartographie_des_résultats_du_réseau_par_sujet[[#This Row],[Sujet]],Cartographie_des_appareils[Émissions totales (kgC02e)])</f>
        <v>0</v>
      </c>
    </row>
    <row r="24" spans="1:3" outlineLevel="1" x14ac:dyDescent="0.3">
      <c r="B24" s="88" t="s">
        <v>8</v>
      </c>
      <c r="C24" s="108">
        <f>SUMIF(Cartographie_des_appareils[Sujet du NIST],Cartographie_des_résultats_du_réseau_par_sujet[[#This Row],[Sujet]],Cartographie_des_appareils[Émissions totales (kgC02e)])</f>
        <v>0</v>
      </c>
    </row>
    <row r="25" spans="1:3" outlineLevel="1" x14ac:dyDescent="0.3">
      <c r="B25" s="88" t="s">
        <v>9</v>
      </c>
      <c r="C25" s="108">
        <f>SUMIF(Cartographie_des_appareils[Sujet du NIST],Cartographie_des_résultats_du_réseau_par_sujet[[#This Row],[Sujet]],Cartographie_des_appareils[Émissions totales (kgC02e)])</f>
        <v>34466.492434285712</v>
      </c>
    </row>
    <row r="26" spans="1:3" outlineLevel="1" x14ac:dyDescent="0.3">
      <c r="B26" s="88" t="s">
        <v>10</v>
      </c>
      <c r="C26" s="108">
        <f>SUMIF(Cartographie_des_appareils[Sujet du NIST],Cartographie_des_résultats_du_réseau_par_sujet[[#This Row],[Sujet]],Cartographie_des_appareils[Émissions totales (kgC02e)])</f>
        <v>0</v>
      </c>
    </row>
    <row r="27" spans="1:3" outlineLevel="1" x14ac:dyDescent="0.3">
      <c r="B27" s="88" t="s">
        <v>11</v>
      </c>
      <c r="C27" s="108">
        <f>SUMIF(Cartographie_des_appareils[Sujet du NIST],Cartographie_des_résultats_du_réseau_par_sujet[[#This Row],[Sujet]],Cartographie_des_appareils[Émissions totales (kgC02e)])</f>
        <v>0</v>
      </c>
    </row>
    <row r="28" spans="1:3" outlineLevel="1" x14ac:dyDescent="0.3">
      <c r="B28" s="88" t="s">
        <v>12</v>
      </c>
      <c r="C28" s="108">
        <f>SUMIF(Cartographie_des_appareils[Sujet du NIST],Cartographie_des_résultats_du_réseau_par_sujet[[#This Row],[Sujet]],Cartographie_des_appareils[Émissions totales (kgC02e)])</f>
        <v>0</v>
      </c>
    </row>
    <row r="29" spans="1:3" outlineLevel="1" x14ac:dyDescent="0.3">
      <c r="B29" s="88" t="s">
        <v>13</v>
      </c>
      <c r="C29" s="108">
        <f>SUMIF(Cartographie_des_appareils[Sujet du NIST],Cartographie_des_résultats_du_réseau_par_sujet[[#This Row],[Sujet]],Cartographie_des_appareils[Émissions totales (kgC02e)])</f>
        <v>0</v>
      </c>
    </row>
    <row r="30" spans="1:3" x14ac:dyDescent="0.3">
      <c r="B30" s="99" t="s">
        <v>147</v>
      </c>
      <c r="C30" s="73">
        <f>SUBTOTAL(109,Cartographie_des_résultats_du_réseau_par_sujet[Émissions des appareils (kgCO2e)])</f>
        <v>50439.283268571424</v>
      </c>
    </row>
    <row r="32" spans="1:3" ht="20" x14ac:dyDescent="0.3">
      <c r="A32" s="236" t="s">
        <v>629</v>
      </c>
    </row>
    <row r="33" spans="2:8" s="22" customFormat="1" ht="29" customHeight="1" x14ac:dyDescent="0.3">
      <c r="B33" s="74" t="s">
        <v>420</v>
      </c>
      <c r="C33" s="74" t="s">
        <v>622</v>
      </c>
      <c r="D33" s="74" t="s">
        <v>298</v>
      </c>
      <c r="E33" s="74" t="s">
        <v>299</v>
      </c>
      <c r="F33" s="45" t="s">
        <v>567</v>
      </c>
      <c r="G33" s="45" t="s">
        <v>568</v>
      </c>
      <c r="H33" s="45" t="s">
        <v>569</v>
      </c>
    </row>
    <row r="34" spans="2:8" ht="15" customHeight="1" x14ac:dyDescent="0.3">
      <c r="B34" s="120" t="s">
        <v>570</v>
      </c>
      <c r="C34" s="78"/>
      <c r="D34" s="95" t="s">
        <v>62</v>
      </c>
      <c r="E34" s="73" t="str">
        <f>_xlfn.XLOOKUP(Cartographie_des_appareils[[#This Row],[Contrôle NIST]],Contrôle_de_référence_NIST[Contrôle NIST],Contrôle_de_référence_NIST[Sujet du NIST])</f>
        <v>NTW</v>
      </c>
      <c r="F34" s="94">
        <f>SUM(Proxy_Reseau[Champ d''application 2 (kgC02e)])</f>
        <v>9616.7016000000003</v>
      </c>
      <c r="G34" s="94">
        <f>'1.4 Réseau'!L15</f>
        <v>4842</v>
      </c>
      <c r="H34" s="94">
        <f>SUM(Proxy_Reseau[Émissions totales (kgC02e)])</f>
        <v>18493.7016</v>
      </c>
    </row>
    <row r="35" spans="2:8" ht="15" customHeight="1" x14ac:dyDescent="0.3">
      <c r="B35" s="120" t="s">
        <v>631</v>
      </c>
      <c r="C35" s="78"/>
      <c r="D35" s="95" t="s">
        <v>55</v>
      </c>
      <c r="E35" s="73" t="str">
        <f>_xlfn.XLOOKUP(Cartographie_des_appareils[[#This Row],[Contrôle NIST]],Contrôle_de_référence_NIST[Contrôle NIST],Contrôle_de_référence_NIST[Sujet du NIST])</f>
        <v>NTW</v>
      </c>
      <c r="F35" s="94">
        <f>SUM(Proxy_Reseau[Champ d''application 2 (kgC02e)])</f>
        <v>9616.7016000000003</v>
      </c>
      <c r="G35" s="94">
        <f>SUM(Pare_feu_Reseau[Champ d''application 3 (kgC02e)])</f>
        <v>7055.4857142857145</v>
      </c>
      <c r="H35" s="94">
        <f>SUM(Pare_feu_Reseau[Émissions totales (kgC02e)])</f>
        <v>15972.790834285715</v>
      </c>
    </row>
    <row r="36" spans="2:8" ht="15" customHeight="1" x14ac:dyDescent="0.3">
      <c r="B36" s="120" t="s">
        <v>630</v>
      </c>
      <c r="C36" s="78"/>
      <c r="D36" s="95" t="s">
        <v>36</v>
      </c>
      <c r="E36" s="73" t="str">
        <f>_xlfn.XLOOKUP(Cartographie_des_appareils[[#This Row],[Contrôle NIST]],Contrôle_de_référence_NIST[Contrôle NIST],Contrôle_de_référence_NIST[Sujet du NIST])</f>
        <v>DET</v>
      </c>
      <c r="F36" s="94">
        <f>SUM(Proxy_Reseau[Champ d''application 2 (kgC02e)])</f>
        <v>9616.7016000000003</v>
      </c>
      <c r="G36" s="94">
        <f>SUM(IPS_IDS_Reseau[Champ d''application 3 (kgC02e)])</f>
        <v>7055.4857142857145</v>
      </c>
      <c r="H36" s="94">
        <f>SUM(IPS_IDS_Reseau[Émissions totales (kgC02e)])</f>
        <v>15972.790834285715</v>
      </c>
    </row>
  </sheetData>
  <pageMargins left="0.7" right="0.7" top="0.75" bottom="0.75" header="0.3" footer="0.3"/>
  <pageSetup paperSize="9" orientation="portrait" r:id="rId1"/>
  <legacy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08AFE-37AE-4197-BDBB-3D7AA58F2293}">
  <sheetPr>
    <tabColor theme="5" tint="0.79998168889431442"/>
  </sheetPr>
  <dimension ref="A2:H43"/>
  <sheetViews>
    <sheetView showGridLines="0" zoomScale="78" zoomScaleNormal="55" workbookViewId="0">
      <selection activeCell="A10" sqref="A10"/>
    </sheetView>
  </sheetViews>
  <sheetFormatPr baseColWidth="10" defaultColWidth="11.4140625" defaultRowHeight="14" x14ac:dyDescent="0.3"/>
  <cols>
    <col min="1" max="1" width="49.5" customWidth="1"/>
    <col min="2" max="2" width="40.75" customWidth="1"/>
    <col min="3" max="3" width="22.75" customWidth="1"/>
    <col min="4" max="4" width="29.75" customWidth="1"/>
    <col min="5" max="5" width="24.4140625" customWidth="1"/>
    <col min="6" max="6" width="15.9140625" customWidth="1"/>
    <col min="7" max="7" width="33.1640625" customWidth="1"/>
    <col min="8" max="8" width="25.9140625" customWidth="1"/>
    <col min="9" max="9" width="26.1640625" customWidth="1"/>
  </cols>
  <sheetData>
    <row r="2" spans="1:5" ht="15.5" x14ac:dyDescent="0.35">
      <c r="A2" s="127" t="s">
        <v>215</v>
      </c>
    </row>
    <row r="3" spans="1:5" ht="15.5" x14ac:dyDescent="0.35">
      <c r="B3" s="113" t="s">
        <v>216</v>
      </c>
    </row>
    <row r="4" spans="1:5" ht="42" x14ac:dyDescent="0.3">
      <c r="B4" s="147" t="s">
        <v>227</v>
      </c>
    </row>
    <row r="5" spans="1:5" ht="42" x14ac:dyDescent="0.3">
      <c r="B5" s="225" t="s">
        <v>228</v>
      </c>
    </row>
    <row r="6" spans="1:5" ht="42" x14ac:dyDescent="0.3">
      <c r="B6" s="228" t="s">
        <v>229</v>
      </c>
    </row>
    <row r="7" spans="1:5" ht="42" x14ac:dyDescent="0.3">
      <c r="B7" s="229" t="s">
        <v>230</v>
      </c>
    </row>
    <row r="8" spans="1:5" x14ac:dyDescent="0.3">
      <c r="B8" s="117" t="s">
        <v>225</v>
      </c>
    </row>
    <row r="10" spans="1:5" ht="15.5" x14ac:dyDescent="0.35">
      <c r="A10" s="230" t="s">
        <v>620</v>
      </c>
    </row>
    <row r="11" spans="1:5" x14ac:dyDescent="0.3">
      <c r="B11" s="105" t="s">
        <v>632</v>
      </c>
      <c r="C11" s="109">
        <f>SUM(Cartographie_Serveurs_par_Resultats_par_Sujet[Total des émissions des services sur place (kgCO2e)])/1000</f>
        <v>19.137024446195554</v>
      </c>
    </row>
    <row r="12" spans="1:5" ht="28" x14ac:dyDescent="0.3">
      <c r="B12" s="107" t="str">
        <f>"Champ d'application 2 "&amp;B11</f>
        <v>Champ d'application 2 Émissions des serveurs sur site (tCO2e)</v>
      </c>
      <c r="C12" s="109">
        <f>SUM(Cartographie_des_serveurs_de_sauvegarde[Champ d''application 2 (kgC02e)])/1000</f>
        <v>6.4138688906399999</v>
      </c>
    </row>
    <row r="13" spans="1:5" ht="28" x14ac:dyDescent="0.3">
      <c r="B13" s="107" t="str">
        <f>"Champ d'application 3 "&amp;B11</f>
        <v>Champ d'application 3 Émissions des serveurs sur site (tCO2e)</v>
      </c>
      <c r="C13" s="109">
        <f>SUM(Cartographie_des_serveurs_de_sauvegarde[Champ d''application 3 (kgC02e)])/1000</f>
        <v>12.723155555555556</v>
      </c>
    </row>
    <row r="15" spans="1:5" ht="42" x14ac:dyDescent="0.3">
      <c r="B15" s="89" t="s">
        <v>417</v>
      </c>
      <c r="C15" s="89" t="s">
        <v>633</v>
      </c>
      <c r="D15" s="89" t="s">
        <v>445</v>
      </c>
      <c r="E15" s="89" t="s">
        <v>634</v>
      </c>
    </row>
    <row r="16" spans="1:5" x14ac:dyDescent="0.3">
      <c r="B16" s="88" t="s">
        <v>0</v>
      </c>
      <c r="C16" s="110">
        <f>SUM(Cartographie_Serveurs_par_Resultats_par_Sujet[[#This Row],[Serveurs de sauvegarde]:[Serveurs redondants]])</f>
        <v>0</v>
      </c>
      <c r="D16"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16"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17" spans="2:5" x14ac:dyDescent="0.3">
      <c r="B17" s="88" t="s">
        <v>1</v>
      </c>
      <c r="C17" s="110">
        <f>SUM(Cartographie_Serveurs_par_Resultats_par_Sujet[[#This Row],[Serveurs de sauvegarde]:[Serveurs redondants]])</f>
        <v>0</v>
      </c>
      <c r="D17"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17"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18" spans="2:5" x14ac:dyDescent="0.3">
      <c r="B18" s="88" t="s">
        <v>2</v>
      </c>
      <c r="C18" s="110">
        <f>SUM(Cartographie_Serveurs_par_Resultats_par_Sujet[[#This Row],[Serveurs de sauvegarde]:[Serveurs redondants]])</f>
        <v>0</v>
      </c>
      <c r="D18"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18"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19" spans="2:5" x14ac:dyDescent="0.3">
      <c r="B19" s="88" t="s">
        <v>3</v>
      </c>
      <c r="C19" s="110">
        <f>SUM(Cartographie_Serveurs_par_Resultats_par_Sujet[[#This Row],[Serveurs de sauvegarde]:[Serveurs redondants]])</f>
        <v>0</v>
      </c>
      <c r="D19"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19"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0" spans="2:5" x14ac:dyDescent="0.3">
      <c r="B20" s="88" t="s">
        <v>4</v>
      </c>
      <c r="C20" s="110">
        <f>SUM(Cartographie_Serveurs_par_Resultats_par_Sujet[[#This Row],[Serveurs de sauvegarde]:[Serveurs redondants]])</f>
        <v>0</v>
      </c>
      <c r="D20"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0"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1" spans="2:5" x14ac:dyDescent="0.3">
      <c r="B21" s="88" t="s">
        <v>5</v>
      </c>
      <c r="C21" s="110">
        <f>SUM(Cartographie_Serveurs_par_Resultats_par_Sujet[[#This Row],[Serveurs de sauvegarde]:[Serveurs redondants]])</f>
        <v>0</v>
      </c>
      <c r="D21"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1"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2" spans="2:5" x14ac:dyDescent="0.3">
      <c r="B22" s="88" t="s">
        <v>6</v>
      </c>
      <c r="C22" s="110">
        <f>SUM(Cartographie_Serveurs_par_Resultats_par_Sujet[[#This Row],[Serveurs de sauvegarde]:[Serveurs redondants]])</f>
        <v>0</v>
      </c>
      <c r="D22"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2"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3" spans="2:5" x14ac:dyDescent="0.3">
      <c r="B23" s="88" t="s">
        <v>7</v>
      </c>
      <c r="C23" s="110">
        <f>SUM(Cartographie_Serveurs_par_Resultats_par_Sujet[[#This Row],[Serveurs de sauvegarde]:[Serveurs redondants]])</f>
        <v>0</v>
      </c>
      <c r="D23"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3"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4" spans="2:5" x14ac:dyDescent="0.3">
      <c r="B24" s="88" t="s">
        <v>8</v>
      </c>
      <c r="C24" s="110">
        <f>SUM(Cartographie_Serveurs_par_Resultats_par_Sujet[[#This Row],[Serveurs de sauvegarde]:[Serveurs redondants]])</f>
        <v>0</v>
      </c>
      <c r="D24"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4"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5" spans="2:5" x14ac:dyDescent="0.3">
      <c r="B25" s="88" t="s">
        <v>9</v>
      </c>
      <c r="C25" s="110">
        <f>SUM(Cartographie_Serveurs_par_Resultats_par_Sujet[[#This Row],[Serveurs de sauvegarde]:[Serveurs redondants]])</f>
        <v>0</v>
      </c>
      <c r="D25"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5"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6" spans="2:5" x14ac:dyDescent="0.3">
      <c r="B26" s="88" t="s">
        <v>10</v>
      </c>
      <c r="C26" s="110">
        <f>SUM(Cartographie_Serveurs_par_Resultats_par_Sujet[[#This Row],[Serveurs de sauvegarde]:[Serveurs redondants]])</f>
        <v>0</v>
      </c>
      <c r="D26"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6"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7" spans="2:5" x14ac:dyDescent="0.3">
      <c r="B27" s="88" t="s">
        <v>11</v>
      </c>
      <c r="C27" s="110">
        <f>SUM(Cartographie_Serveurs_par_Resultats_par_Sujet[[#This Row],[Serveurs de sauvegarde]:[Serveurs redondants]])</f>
        <v>19137.024446195555</v>
      </c>
      <c r="D27"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14055.627037626666</v>
      </c>
      <c r="E27"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5081.3974085688887</v>
      </c>
    </row>
    <row r="28" spans="2:5" x14ac:dyDescent="0.3">
      <c r="B28" s="88" t="s">
        <v>12</v>
      </c>
      <c r="C28" s="110">
        <f>SUM(Cartographie_Serveurs_par_Resultats_par_Sujet[[#This Row],[Serveurs de sauvegarde]:[Serveurs redondants]])</f>
        <v>0</v>
      </c>
      <c r="D28"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8"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29" spans="2:5" x14ac:dyDescent="0.3">
      <c r="B29" s="88" t="s">
        <v>13</v>
      </c>
      <c r="C29" s="110">
        <f>SUM(Cartographie_Serveurs_par_Resultats_par_Sujet[[#This Row],[Serveurs de sauvegarde]:[Serveurs redondants]])</f>
        <v>0</v>
      </c>
      <c r="D29"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de sauvegarde]])</f>
        <v>0</v>
      </c>
      <c r="E29" s="110">
        <f>SUMIFS(Cartographie_des_serveurs_de_sauvegarde[Émissions totales (kgC02e)],Cartographie_des_serveurs_de_sauvegarde[Sujet du NIST],Cartographie_Serveurs_par_Resultats_par_Sujet[[#This Row],[Sujet]],Cartographie_des_serveurs_de_sauvegarde[Champ d''application],Cartographie_Serveurs_par_Resultats_par_Sujet[[#Headers],[Serveurs redondants]])</f>
        <v>0</v>
      </c>
    </row>
    <row r="30" spans="2:5" x14ac:dyDescent="0.3">
      <c r="B30" s="99" t="s">
        <v>147</v>
      </c>
      <c r="C30" s="94">
        <f>SUBTOTAL(109,Cartographie_Serveurs_par_Resultats_par_Sujet[Total des émissions des services sur place (kgCO2e)])</f>
        <v>19137.024446195555</v>
      </c>
      <c r="D30" s="94">
        <f>SUBTOTAL(109,Cartographie_Serveurs_par_Resultats_par_Sujet[Serveurs de sauvegarde])</f>
        <v>14055.627037626666</v>
      </c>
      <c r="E30" s="94">
        <f>SUBTOTAL(109,Cartographie_Serveurs_par_Resultats_par_Sujet[Serveurs redondants])</f>
        <v>5081.3974085688887</v>
      </c>
    </row>
    <row r="40" spans="1:8" ht="40" x14ac:dyDescent="0.3">
      <c r="A40" s="76" t="s">
        <v>586</v>
      </c>
    </row>
    <row r="41" spans="1:8" ht="42" x14ac:dyDescent="0.3">
      <c r="B41" s="74" t="s">
        <v>420</v>
      </c>
      <c r="C41" s="74" t="s">
        <v>622</v>
      </c>
      <c r="D41" s="74" t="s">
        <v>298</v>
      </c>
      <c r="E41" s="74" t="s">
        <v>299</v>
      </c>
      <c r="F41" s="45" t="s">
        <v>567</v>
      </c>
      <c r="G41" s="45" t="s">
        <v>568</v>
      </c>
      <c r="H41" s="83" t="s">
        <v>569</v>
      </c>
    </row>
    <row r="42" spans="1:8" x14ac:dyDescent="0.3">
      <c r="B42" s="120" t="s">
        <v>445</v>
      </c>
      <c r="C42" s="75"/>
      <c r="D42" s="95" t="s">
        <v>78</v>
      </c>
      <c r="E42" s="73" t="str">
        <f>_xlfn.XLOOKUP(Cartographie_des_serveurs_de_sauvegarde[[#This Row],[Contrôle NIST]],Contrôle_de_référence_NIST[Contrôle NIST],Contrôle_de_référence_NIST[Sujet du NIST])</f>
        <v>RES</v>
      </c>
      <c r="F42" s="94">
        <f>SUMIF(Serveurs_de_sauvegarde[Catégorie Cyber],Cartographie_des_serveurs_de_sauvegarde[[#This Row],[Champ d''application]],Serveurs_de_sauvegarde[Champ d''application 2 (kgCO2e)])</f>
        <v>5109.6803709599999</v>
      </c>
      <c r="G42" s="94">
        <f>SUMIF(Serveurs_de_sauvegarde[Catégorie Cyber],Cartographie_des_serveurs_de_sauvegarde[[#This Row],[Champ d''application]],Serveurs_de_sauvegarde[Champ d''application 3 (kgCO2e)])</f>
        <v>8945.9466666666667</v>
      </c>
      <c r="H42" s="94">
        <f>Cartographie_des_serveurs_de_sauvegarde[[#This Row],[Champ d''application 2 (kgC02e)]]+Cartographie_des_serveurs_de_sauvegarde[[#This Row],[Champ d''application 3 (kgC02e)]]</f>
        <v>14055.627037626666</v>
      </c>
    </row>
    <row r="43" spans="1:8" x14ac:dyDescent="0.3">
      <c r="B43" s="120" t="s">
        <v>634</v>
      </c>
      <c r="C43" s="75"/>
      <c r="D43" s="95" t="s">
        <v>78</v>
      </c>
      <c r="E43" s="73" t="str">
        <f>_xlfn.XLOOKUP(Cartographie_des_serveurs_de_sauvegarde[[#This Row],[Contrôle NIST]],Contrôle_de_référence_NIST[Contrôle NIST],Contrôle_de_référence_NIST[Sujet du NIST])</f>
        <v>RES</v>
      </c>
      <c r="F43" s="94">
        <f>SUMIF(Serveurs_de_sauvegarde[Catégorie Cyber],Cartographie_des_serveurs_de_sauvegarde[[#This Row],[Champ d''application]],Serveurs_de_sauvegarde[Champ d''application 2 (kgCO2e)])</f>
        <v>1304.1885196800001</v>
      </c>
      <c r="G43" s="94">
        <f>SUMIF(Serveurs_de_sauvegarde[Catégorie Cyber],Cartographie_des_serveurs_de_sauvegarde[[#This Row],[Champ d''application]],Serveurs_de_sauvegarde[Champ d''application 3 (kgCO2e)])</f>
        <v>3777.2088888888889</v>
      </c>
      <c r="H43" s="94">
        <f>Cartographie_des_serveurs_de_sauvegarde[[#This Row],[Champ d''application 2 (kgC02e)]]+Cartographie_des_serveurs_de_sauvegarde[[#This Row],[Champ d''application 3 (kgC02e)]]</f>
        <v>5081.3974085688887</v>
      </c>
    </row>
  </sheetData>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AB1E-CB6E-4E93-A7BD-5CC2D5DE93D7}">
  <sheetPr>
    <tabColor theme="5" tint="0.79998168889431442"/>
  </sheetPr>
  <dimension ref="A2:O51"/>
  <sheetViews>
    <sheetView showGridLines="0" zoomScale="86" zoomScaleNormal="40" workbookViewId="0">
      <selection activeCell="A2" sqref="A2"/>
    </sheetView>
  </sheetViews>
  <sheetFormatPr baseColWidth="10" defaultColWidth="8.75" defaultRowHeight="14" x14ac:dyDescent="0.3"/>
  <cols>
    <col min="1" max="1" width="47.5" style="3" customWidth="1"/>
    <col min="2" max="2" width="33.4140625" style="3" customWidth="1"/>
    <col min="3" max="3" width="49.9140625" style="3" customWidth="1"/>
    <col min="4" max="4" width="41.5" style="3" customWidth="1"/>
    <col min="5" max="5" width="37.33203125" style="3" customWidth="1"/>
    <col min="6" max="6" width="24.5" style="3" customWidth="1"/>
    <col min="7" max="7" width="21.4140625" style="3" customWidth="1"/>
    <col min="8" max="8" width="31.5" style="3" customWidth="1"/>
    <col min="9" max="9" width="26.1640625" style="3" customWidth="1"/>
    <col min="10" max="10" width="25.1640625" style="3" customWidth="1"/>
    <col min="11" max="11" width="24.1640625" style="3" customWidth="1"/>
    <col min="12" max="14" width="21.1640625" style="3" customWidth="1"/>
    <col min="15" max="15" width="25.1640625" style="3" customWidth="1"/>
    <col min="16" max="16384" width="8.75" style="3"/>
  </cols>
  <sheetData>
    <row r="2" spans="1:5" ht="15.5" x14ac:dyDescent="0.35">
      <c r="A2" s="127" t="s">
        <v>215</v>
      </c>
      <c r="B2"/>
    </row>
    <row r="3" spans="1:5" ht="15.5" x14ac:dyDescent="0.35">
      <c r="A3"/>
      <c r="B3" s="113" t="s">
        <v>216</v>
      </c>
    </row>
    <row r="4" spans="1:5" ht="42" x14ac:dyDescent="0.3">
      <c r="A4"/>
      <c r="B4" s="147" t="s">
        <v>227</v>
      </c>
    </row>
    <row r="5" spans="1:5" ht="56" x14ac:dyDescent="0.3">
      <c r="A5"/>
      <c r="B5" s="225" t="s">
        <v>228</v>
      </c>
    </row>
    <row r="6" spans="1:5" ht="42" x14ac:dyDescent="0.3">
      <c r="A6"/>
      <c r="B6" s="228" t="s">
        <v>229</v>
      </c>
    </row>
    <row r="7" spans="1:5" ht="42" x14ac:dyDescent="0.3">
      <c r="A7"/>
      <c r="B7" s="229" t="s">
        <v>230</v>
      </c>
    </row>
    <row r="8" spans="1:5" x14ac:dyDescent="0.3">
      <c r="B8" s="118" t="s">
        <v>225</v>
      </c>
    </row>
    <row r="10" spans="1:5" ht="15.5" x14ac:dyDescent="0.35">
      <c r="A10" s="230" t="s">
        <v>620</v>
      </c>
    </row>
    <row r="11" spans="1:5" ht="28" x14ac:dyDescent="0.3">
      <c r="B11" s="105" t="s">
        <v>723</v>
      </c>
      <c r="C11" s="111">
        <f>SUM(Cartographie_Solutions_par_Resultats_par_Sujet[Total des émissions de la solution Cyber (kgCO2e)])/1000</f>
        <v>4434.0389241719631</v>
      </c>
    </row>
    <row r="12" spans="1:5" ht="28" x14ac:dyDescent="0.3">
      <c r="B12" s="107" t="str">
        <f>"Champ d'application 2 "&amp;B11</f>
        <v>Champ d'application 2 Émissions des solutions Cyber (tCO2e)</v>
      </c>
      <c r="C12" s="111">
        <f>SUM(Cartographie_Solutions_Sur_Site[Émissions de carbone du NIST selon le champ d''application 2 (kGCO2e)],Cartographie_Solutions_sur_Cloud[Émissions de carbone du NIST selon le champ d''application 2 (kGCO2e)])/1000</f>
        <v>9.4553667676800011</v>
      </c>
    </row>
    <row r="13" spans="1:5" ht="28" x14ac:dyDescent="0.3">
      <c r="B13" s="107" t="str">
        <f>"Champ d'application 3 "&amp;B11</f>
        <v>Champ d'application 3 Émissions des solutions Cyber (tCO2e)</v>
      </c>
      <c r="C13" s="111">
        <f>SUM(Cartographie_Solutions_Sur_Site[Champ d''application 3 Émissions de carbone du NIST (kGCO2e)2],Cartographie_Solutions_sur_Cloud[Champ d''application 3 Émissions de carbone du NIST (kGCO2e)2])/1000</f>
        <v>4424.5835574042821</v>
      </c>
    </row>
    <row r="14" spans="1:5" x14ac:dyDescent="0.3">
      <c r="B14" s="87"/>
    </row>
    <row r="15" spans="1:5" ht="52.5" customHeight="1" x14ac:dyDescent="0.3">
      <c r="B15" s="89" t="s">
        <v>417</v>
      </c>
      <c r="C15" s="89" t="s">
        <v>635</v>
      </c>
      <c r="D15" s="89" t="s">
        <v>724</v>
      </c>
      <c r="E15" s="89" t="s">
        <v>725</v>
      </c>
    </row>
    <row r="16" spans="1:5" x14ac:dyDescent="0.3">
      <c r="B16" s="88" t="s">
        <v>0</v>
      </c>
      <c r="C16" s="193">
        <f>SUM(Cartographie_Solutions_par_Resultats_par_Sujet[[#This Row],[Solutions dédiées à la cyber hébergées sur place]:[Solutions Cyber dédiées hébergées dans le Cloud]])</f>
        <v>0</v>
      </c>
      <c r="D16" s="193">
        <f>SUMIF(Cartographie_Solutions_Sur_Site[Sujet du NIST],Cartographie_Solutions_par_Resultats_par_Sujet[[#This Row],[Sujet]],Cartographie_Solutions_Sur_Site[Émissions totales de carbone du NIST (kgCO2e)])</f>
        <v>0</v>
      </c>
      <c r="E16" s="193">
        <f>SUMIF(Cartographie_Solutions_sur_Cloud[Sujet du NIST],Cartographie_Solutions_par_Resultats_par_Sujet[[#This Row],[Sujet]],Cartographie_Solutions_sur_Cloud[Émissions totales de carbone du NIST (kgCO2e)])</f>
        <v>0</v>
      </c>
    </row>
    <row r="17" spans="2:5" x14ac:dyDescent="0.3">
      <c r="B17" s="88" t="s">
        <v>1</v>
      </c>
      <c r="C17" s="193">
        <f>SUM(Cartographie_Solutions_par_Resultats_par_Sujet[[#This Row],[Solutions dédiées à la cyber hébergées sur place]:[Solutions Cyber dédiées hébergées dans le Cloud]])</f>
        <v>1615200.9471719626</v>
      </c>
      <c r="D17" s="193">
        <f>SUMIF(Cartographie_Solutions_Sur_Site[Sujet du NIST],Cartographie_Solutions_par_Resultats_par_Sujet[[#This Row],[Sujet]],Cartographie_Solutions_Sur_Site[Émissions totales de carbone du NIST (kgCO2e)])</f>
        <v>19632.281171962681</v>
      </c>
      <c r="E17" s="193">
        <f>SUMIF(Cartographie_Solutions_sur_Cloud[Sujet du NIST],Cartographie_Solutions_par_Resultats_par_Sujet[[#This Row],[Sujet]],Cartographie_Solutions_sur_Cloud[Émissions totales de carbone du NIST (kgCO2e)])</f>
        <v>1595568.666</v>
      </c>
    </row>
    <row r="18" spans="2:5" x14ac:dyDescent="0.3">
      <c r="B18" s="88" t="s">
        <v>2</v>
      </c>
      <c r="C18" s="193">
        <f>SUM(Cartographie_Solutions_par_Resultats_par_Sujet[[#This Row],[Solutions dédiées à la cyber hébergées sur place]:[Solutions Cyber dédiées hébergées dans le Cloud]])</f>
        <v>0</v>
      </c>
      <c r="D18" s="193">
        <f>SUMIF(Cartographie_Solutions_Sur_Site[Sujet du NIST],Cartographie_Solutions_par_Resultats_par_Sujet[[#This Row],[Sujet]],Cartographie_Solutions_Sur_Site[Émissions totales de carbone du NIST (kgCO2e)])</f>
        <v>0</v>
      </c>
      <c r="E18" s="193">
        <f>SUMIF(Cartographie_Solutions_sur_Cloud[Sujet du NIST],Cartographie_Solutions_par_Resultats_par_Sujet[[#This Row],[Sujet]],Cartographie_Solutions_sur_Cloud[Émissions totales de carbone du NIST (kgCO2e)])</f>
        <v>0</v>
      </c>
    </row>
    <row r="19" spans="2:5" x14ac:dyDescent="0.3">
      <c r="B19" s="88" t="s">
        <v>3</v>
      </c>
      <c r="C19" s="193">
        <f>SUM(Cartographie_Solutions_par_Resultats_par_Sujet[[#This Row],[Solutions dédiées à la cyber hébergées sur place]:[Solutions Cyber dédiées hébergées dans le Cloud]])</f>
        <v>0</v>
      </c>
      <c r="D19" s="193">
        <f>SUMIF(Cartographie_Solutions_Sur_Site[Sujet du NIST],Cartographie_Solutions_par_Resultats_par_Sujet[[#This Row],[Sujet]],Cartographie_Solutions_Sur_Site[Émissions totales de carbone du NIST (kgCO2e)])</f>
        <v>0</v>
      </c>
      <c r="E19" s="193">
        <f>SUMIF(Cartographie_Solutions_sur_Cloud[Sujet du NIST],Cartographie_Solutions_par_Resultats_par_Sujet[[#This Row],[Sujet]],Cartographie_Solutions_sur_Cloud[Émissions totales de carbone du NIST (kgCO2e)])</f>
        <v>0</v>
      </c>
    </row>
    <row r="20" spans="2:5" x14ac:dyDescent="0.3">
      <c r="B20" s="88" t="s">
        <v>4</v>
      </c>
      <c r="C20" s="193">
        <f>SUM(Cartographie_Solutions_par_Resultats_par_Sujet[[#This Row],[Solutions dédiées à la cyber hébergées sur place]:[Solutions Cyber dédiées hébergées dans le Cloud]])</f>
        <v>0</v>
      </c>
      <c r="D20" s="193">
        <f>SUMIF(Cartographie_Solutions_Sur_Site[Sujet du NIST],Cartographie_Solutions_par_Resultats_par_Sujet[[#This Row],[Sujet]],Cartographie_Solutions_Sur_Site[Émissions totales de carbone du NIST (kgCO2e)])</f>
        <v>0</v>
      </c>
      <c r="E20" s="193">
        <f>SUMIF(Cartographie_Solutions_sur_Cloud[Sujet du NIST],Cartographie_Solutions_par_Resultats_par_Sujet[[#This Row],[Sujet]],Cartographie_Solutions_sur_Cloud[Émissions totales de carbone du NIST (kgCO2e)])</f>
        <v>0</v>
      </c>
    </row>
    <row r="21" spans="2:5" x14ac:dyDescent="0.3">
      <c r="B21" s="88" t="s">
        <v>5</v>
      </c>
      <c r="C21" s="193">
        <f>SUM(Cartographie_Solutions_par_Resultats_par_Sujet[[#This Row],[Solutions dédiées à la cyber hébergées sur place]:[Solutions Cyber dédiées hébergées dans le Cloud]])</f>
        <v>0</v>
      </c>
      <c r="D21" s="193">
        <f>SUMIF(Cartographie_Solutions_Sur_Site[Sujet du NIST],Cartographie_Solutions_par_Resultats_par_Sujet[[#This Row],[Sujet]],Cartographie_Solutions_Sur_Site[Émissions totales de carbone du NIST (kgCO2e)])</f>
        <v>0</v>
      </c>
      <c r="E21" s="193">
        <f>SUMIF(Cartographie_Solutions_sur_Cloud[Sujet du NIST],Cartographie_Solutions_par_Resultats_par_Sujet[[#This Row],[Sujet]],Cartographie_Solutions_sur_Cloud[Émissions totales de carbone du NIST (kgCO2e)])</f>
        <v>0</v>
      </c>
    </row>
    <row r="22" spans="2:5" x14ac:dyDescent="0.3">
      <c r="B22" s="88" t="s">
        <v>6</v>
      </c>
      <c r="C22" s="193">
        <f>SUM(Cartographie_Solutions_par_Resultats_par_Sujet[[#This Row],[Solutions dédiées à la cyber hébergées sur place]:[Solutions Cyber dédiées hébergées dans le Cloud]])</f>
        <v>0</v>
      </c>
      <c r="D22" s="193">
        <f>SUMIF(Cartographie_Solutions_Sur_Site[Sujet du NIST],Cartographie_Solutions_par_Resultats_par_Sujet[[#This Row],[Sujet]],Cartographie_Solutions_Sur_Site[Émissions totales de carbone du NIST (kgCO2e)])</f>
        <v>0</v>
      </c>
      <c r="E22" s="193">
        <f>SUMIF(Cartographie_Solutions_sur_Cloud[Sujet du NIST],Cartographie_Solutions_par_Resultats_par_Sujet[[#This Row],[Sujet]],Cartographie_Solutions_sur_Cloud[Émissions totales de carbone du NIST (kgCO2e)])</f>
        <v>0</v>
      </c>
    </row>
    <row r="23" spans="2:5" x14ac:dyDescent="0.3">
      <c r="B23" s="88" t="s">
        <v>7</v>
      </c>
      <c r="C23" s="193">
        <f>SUM(Cartographie_Solutions_par_Resultats_par_Sujet[[#This Row],[Solutions dédiées à la cyber hébergées sur place]:[Solutions Cyber dédiées hébergées dans le Cloud]])</f>
        <v>0</v>
      </c>
      <c r="D23" s="193">
        <f>SUMIF(Cartographie_Solutions_Sur_Site[Sujet du NIST],Cartographie_Solutions_par_Resultats_par_Sujet[[#This Row],[Sujet]],Cartographie_Solutions_Sur_Site[Émissions totales de carbone du NIST (kgCO2e)])</f>
        <v>0</v>
      </c>
      <c r="E23" s="193">
        <f>SUMIF(Cartographie_Solutions_sur_Cloud[Sujet du NIST],Cartographie_Solutions_par_Resultats_par_Sujet[[#This Row],[Sujet]],Cartographie_Solutions_sur_Cloud[Émissions totales de carbone du NIST (kgCO2e)])</f>
        <v>0</v>
      </c>
    </row>
    <row r="24" spans="2:5" x14ac:dyDescent="0.3">
      <c r="B24" s="88" t="s">
        <v>8</v>
      </c>
      <c r="C24" s="193">
        <f>SUM(Cartographie_Solutions_par_Resultats_par_Sujet[[#This Row],[Solutions dédiées à la cyber hébergées sur place]:[Solutions Cyber dédiées hébergées dans le Cloud]])</f>
        <v>0</v>
      </c>
      <c r="D24" s="193">
        <f>SUMIF(Cartographie_Solutions_Sur_Site[Sujet du NIST],Cartographie_Solutions_par_Resultats_par_Sujet[[#This Row],[Sujet]],Cartographie_Solutions_Sur_Site[Émissions totales de carbone du NIST (kgCO2e)])</f>
        <v>0</v>
      </c>
      <c r="E24" s="193">
        <f>SUMIF(Cartographie_Solutions_sur_Cloud[Sujet du NIST],Cartographie_Solutions_par_Resultats_par_Sujet[[#This Row],[Sujet]],Cartographie_Solutions_sur_Cloud[Émissions totales de carbone du NIST (kgCO2e)])</f>
        <v>0</v>
      </c>
    </row>
    <row r="25" spans="2:5" x14ac:dyDescent="0.3">
      <c r="B25" s="88" t="s">
        <v>9</v>
      </c>
      <c r="C25" s="193">
        <f>SUM(Cartographie_Solutions_par_Resultats_par_Sujet[[#This Row],[Solutions dédiées à la cyber hébergées sur place]:[Solutions Cyber dédiées hébergées dans le Cloud]])</f>
        <v>1223269.311</v>
      </c>
      <c r="D25" s="193">
        <f>SUMIF(Cartographie_Solutions_Sur_Site[Sujet du NIST],Cartographie_Solutions_par_Resultats_par_Sujet[[#This Row],[Sujet]],Cartographie_Solutions_Sur_Site[Émissions totales de carbone du NIST (kgCO2e)])</f>
        <v>0</v>
      </c>
      <c r="E25" s="193">
        <f>SUMIF(Cartographie_Solutions_sur_Cloud[Sujet du NIST],Cartographie_Solutions_par_Resultats_par_Sujet[[#This Row],[Sujet]],Cartographie_Solutions_sur_Cloud[Émissions totales de carbone du NIST (kgCO2e)])</f>
        <v>1223269.311</v>
      </c>
    </row>
    <row r="26" spans="2:5" x14ac:dyDescent="0.3">
      <c r="B26" s="88" t="s">
        <v>10</v>
      </c>
      <c r="C26" s="193">
        <f>SUM(Cartographie_Solutions_par_Resultats_par_Sujet[[#This Row],[Solutions dédiées à la cyber hébergées sur place]:[Solutions Cyber dédiées hébergées dans le Cloud]])</f>
        <v>0</v>
      </c>
      <c r="D26" s="193">
        <f>SUMIF(Cartographie_Solutions_Sur_Site[Sujet du NIST],Cartographie_Solutions_par_Resultats_par_Sujet[[#This Row],[Sujet]],Cartographie_Solutions_Sur_Site[Émissions totales de carbone du NIST (kgCO2e)])</f>
        <v>0</v>
      </c>
      <c r="E26" s="193">
        <f>SUMIF(Cartographie_Solutions_sur_Cloud[Sujet du NIST],Cartographie_Solutions_par_Resultats_par_Sujet[[#This Row],[Sujet]],Cartographie_Solutions_sur_Cloud[Émissions totales de carbone du NIST (kgCO2e)])</f>
        <v>0</v>
      </c>
    </row>
    <row r="27" spans="2:5" x14ac:dyDescent="0.3">
      <c r="B27" s="88" t="s">
        <v>11</v>
      </c>
      <c r="C27" s="193">
        <f>SUM(Cartographie_Solutions_par_Resultats_par_Sujet[[#This Row],[Solutions dédiées à la cyber hébergées sur place]:[Solutions Cyber dédiées hébergées dans le Cloud]])</f>
        <v>0</v>
      </c>
      <c r="D27" s="193">
        <f>SUMIF(Cartographie_Solutions_Sur_Site[Sujet du NIST],Cartographie_Solutions_par_Resultats_par_Sujet[[#This Row],[Sujet]],Cartographie_Solutions_Sur_Site[Émissions totales de carbone du NIST (kgCO2e)])</f>
        <v>0</v>
      </c>
      <c r="E27" s="193">
        <f>SUMIF(Cartographie_Solutions_sur_Cloud[Sujet du NIST],Cartographie_Solutions_par_Resultats_par_Sujet[[#This Row],[Sujet]],Cartographie_Solutions_sur_Cloud[Émissions totales de carbone du NIST (kgCO2e)])</f>
        <v>0</v>
      </c>
    </row>
    <row r="28" spans="2:5" x14ac:dyDescent="0.3">
      <c r="B28" s="88" t="s">
        <v>12</v>
      </c>
      <c r="C28" s="193">
        <f>SUM(Cartographie_Solutions_par_Resultats_par_Sujet[[#This Row],[Solutions dédiées à la cyber hébergées sur place]:[Solutions Cyber dédiées hébergées dans le Cloud]])</f>
        <v>0</v>
      </c>
      <c r="D28" s="193">
        <f>SUMIF(Cartographie_Solutions_Sur_Site[Sujet du NIST],Cartographie_Solutions_par_Resultats_par_Sujet[[#This Row],[Sujet]],Cartographie_Solutions_Sur_Site[Émissions totales de carbone du NIST (kgCO2e)])</f>
        <v>0</v>
      </c>
      <c r="E28" s="193">
        <f>SUMIF(Cartographie_Solutions_sur_Cloud[Sujet du NIST],Cartographie_Solutions_par_Resultats_par_Sujet[[#This Row],[Sujet]],Cartographie_Solutions_sur_Cloud[Émissions totales de carbone du NIST (kgCO2e)])</f>
        <v>0</v>
      </c>
    </row>
    <row r="29" spans="2:5" x14ac:dyDescent="0.3">
      <c r="B29" s="88" t="s">
        <v>13</v>
      </c>
      <c r="C29" s="193">
        <f>SUM(Cartographie_Solutions_par_Resultats_par_Sujet[[#This Row],[Solutions dédiées à la cyber hébergées sur place]:[Solutions Cyber dédiées hébergées dans le Cloud]])</f>
        <v>1595568.666</v>
      </c>
      <c r="D29" s="193">
        <f>SUMIF(Cartographie_Solutions_Sur_Site[Sujet du NIST],Cartographie_Solutions_par_Resultats_par_Sujet[[#This Row],[Sujet]],Cartographie_Solutions_Sur_Site[Émissions totales de carbone du NIST (kgCO2e)])</f>
        <v>0</v>
      </c>
      <c r="E29" s="193">
        <f>SUMIF(Cartographie_Solutions_sur_Cloud[Sujet du NIST],Cartographie_Solutions_par_Resultats_par_Sujet[[#This Row],[Sujet]],Cartographie_Solutions_sur_Cloud[Émissions totales de carbone du NIST (kgCO2e)])</f>
        <v>1595568.666</v>
      </c>
    </row>
    <row r="30" spans="2:5" x14ac:dyDescent="0.3">
      <c r="B30" s="44" t="s">
        <v>147</v>
      </c>
      <c r="C30" s="194">
        <f>SUM(Cartographie_Solutions_par_Resultats_par_Sujet[Total des émissions de la solution Cyber (kgCO2e)])</f>
        <v>4434038.9241719628</v>
      </c>
      <c r="D30" s="194">
        <f>SUM(Cartographie_Solutions_par_Resultats_par_Sujet[Solutions dédiées à la cyber hébergées sur place])</f>
        <v>19632.281171962681</v>
      </c>
      <c r="E30" s="194">
        <f>SUM(Cartographie_Solutions_par_Resultats_par_Sujet[Solutions Cyber dédiées hébergées dans le Cloud])</f>
        <v>4414406.6430000002</v>
      </c>
    </row>
    <row r="34" spans="1:15" ht="40" x14ac:dyDescent="0.3">
      <c r="A34" s="76" t="s">
        <v>744</v>
      </c>
    </row>
    <row r="35" spans="1:15" ht="42" x14ac:dyDescent="0.3">
      <c r="B35" s="49" t="s">
        <v>298</v>
      </c>
      <c r="C35" s="49" t="s">
        <v>589</v>
      </c>
      <c r="D35" s="49" t="s">
        <v>590</v>
      </c>
      <c r="E35" s="49" t="s">
        <v>591</v>
      </c>
      <c r="F35" s="49" t="s">
        <v>636</v>
      </c>
      <c r="G35" s="49" t="s">
        <v>622</v>
      </c>
      <c r="H35" s="49" t="s">
        <v>637</v>
      </c>
      <c r="I35" s="49" t="s">
        <v>299</v>
      </c>
      <c r="J35" s="49" t="s">
        <v>638</v>
      </c>
      <c r="K35" s="49" t="s">
        <v>639</v>
      </c>
      <c r="L35" s="49" t="s">
        <v>640</v>
      </c>
      <c r="M35" s="49" t="s">
        <v>641</v>
      </c>
      <c r="N35" s="49" t="s">
        <v>642</v>
      </c>
      <c r="O35" s="49" t="s">
        <v>643</v>
      </c>
    </row>
    <row r="36" spans="1:15" x14ac:dyDescent="0.3">
      <c r="B36" s="176" t="s">
        <v>15</v>
      </c>
      <c r="C36" s="176" t="s">
        <v>122</v>
      </c>
      <c r="D36" s="176" t="s">
        <v>202</v>
      </c>
      <c r="E36" s="213"/>
      <c r="F36" s="195">
        <v>0.5</v>
      </c>
      <c r="G36" s="196"/>
      <c r="H36" s="197">
        <v>1</v>
      </c>
      <c r="I36" s="200" t="str">
        <f>_xlfn.XLOOKUP(Cartographie_Solutions_Sur_Site[[#This Row],[Contrôle NIST]],Contrôle_de_référence_NIST[Contrôle NIST],Contrôle_de_référence_NIST[Sujet du NIST])</f>
        <v>ASSET</v>
      </c>
      <c r="J36" s="201">
        <f>SUMIF(Logiciels_sur_site[ID de l''application],Cartographie_Solutions_Sur_Site[[#This Row],[ID de l''application]],Logiciels_sur_site[Champ d''application 2 (kgCO2e)])*Cartographie_Solutions_Sur_Site[[#This Row],[% de l''application contribuant à ce contrôle NIST]]</f>
        <v>9455.3667676800014</v>
      </c>
      <c r="K36" s="201">
        <f>SUMIF(Logiciels_sur_site[ID de l''application],Cartographie_Solutions_Sur_Site[[#This Row],[ID de l''application]],Logiciels_sur_site[Champ d''application 3 (kgCO2e)])*Cartographie_Solutions_Sur_Site[[#This Row],[% de l''application contribuant à ce contrôle NIST]]</f>
        <v>10176.914404282679</v>
      </c>
      <c r="L36" s="202">
        <f>SUMIF(Logiciels_sur_site[ID de l''application],Cartographie_Solutions_Sur_Site[[#This Row],[ID de l''application]],Logiciels_sur_site[Émissions totales (kgCO2e)])*Cartographie_Solutions_Sur_Site[[#This Row],[% de l''application contribuant à ce contrôle NIST]]</f>
        <v>19632.281171962681</v>
      </c>
      <c r="M36" s="202">
        <f>SUMIF(Logiciels_sur_site[ID de l''application],Cartographie_Solutions_Sur_Site[[#This Row],[ID de l''application]],Logiciels_sur_site[Champ d''application 2 (kgCO2e)])*Cartographie_Solutions_Sur_Site[[#This Row],[% de l''application contribuant à ce référentiel interne]]</f>
        <v>18910.733535360003</v>
      </c>
      <c r="N36" s="202">
        <f>SUMIF(Logiciels_sur_site[ID de l''application],Cartographie_Solutions_Sur_Site[[#This Row],[ID de l''application]],Logiciels_sur_site[Champ d''application 3 (kgCO2e)])*Cartographie_Solutions_Sur_Site[[#This Row],[% de l''application contribuant à ce référentiel interne]]</f>
        <v>20353.828808565358</v>
      </c>
      <c r="O36" s="202">
        <f>SUMIF(Logiciels_sur_site[ID de l''application],Cartographie_Solutions_Sur_Site[[#This Row],[ID de l''application]],Logiciels_sur_site[Émissions totales (kgCO2e)])*Cartographie_Solutions_Sur_Site[[#This Row],[% de l''application contribuant à ce référentiel interne]]</f>
        <v>39264.562343925361</v>
      </c>
    </row>
    <row r="37" spans="1:15" x14ac:dyDescent="0.3">
      <c r="B37" s="176" t="s">
        <v>15</v>
      </c>
      <c r="C37" s="176" t="s">
        <v>124</v>
      </c>
      <c r="D37" s="176" t="s">
        <v>203</v>
      </c>
      <c r="E37" s="213"/>
      <c r="F37" s="198">
        <v>0.5</v>
      </c>
      <c r="G37" s="196"/>
      <c r="H37" s="197"/>
      <c r="I37" s="200" t="str">
        <f>_xlfn.XLOOKUP(Cartographie_Solutions_Sur_Site[[#This Row],[Contrôle NIST]],Contrôle_de_référence_NIST[Contrôle NIST],Contrôle_de_référence_NIST[Sujet du NIST])</f>
        <v>ASSET</v>
      </c>
      <c r="J37" s="201">
        <f>SUMIF(Logiciels_sur_site[ID de l''application],Cartographie_Solutions_Sur_Site[[#This Row],[ID de l''application]],Logiciels_sur_site[Champ d''application 2 (kgCO2e)])*Cartographie_Solutions_Sur_Site[[#This Row],[% de l''application contribuant à ce contrôle NIST]]</f>
        <v>0</v>
      </c>
      <c r="K37" s="201">
        <f>SUMIF(Logiciels_sur_site[ID de l''application],Cartographie_Solutions_Sur_Site[[#This Row],[ID de l''application]],Logiciels_sur_site[Champ d''application 3 (kgCO2e)])*Cartographie_Solutions_Sur_Site[[#This Row],[% de l''application contribuant à ce contrôle NIST]]</f>
        <v>0</v>
      </c>
      <c r="L37" s="202">
        <f>SUMIF(Logiciels_sur_site[ID de l''application],Cartographie_Solutions_Sur_Site[[#This Row],[ID de l''application]],Logiciels_sur_site[Émissions totales (kgCO2e)])*Cartographie_Solutions_Sur_Site[[#This Row],[% de l''application contribuant à ce contrôle NIST]]</f>
        <v>0</v>
      </c>
      <c r="M37" s="202">
        <f>SUMIF(Logiciels_sur_site[ID de l''application],Cartographie_Solutions_Sur_Site[[#This Row],[ID de l''application]],Logiciels_sur_site[Champ d''application 2 (kgCO2e)])*Cartographie_Solutions_Sur_Site[[#This Row],[% de l''application contribuant à ce référentiel interne]]</f>
        <v>0</v>
      </c>
      <c r="N37" s="202">
        <f>SUMIF(Logiciels_sur_site[ID de l''application],Cartographie_Solutions_Sur_Site[[#This Row],[ID de l''application]],Logiciels_sur_site[Champ d''application 3 (kgCO2e)])*Cartographie_Solutions_Sur_Site[[#This Row],[% de l''application contribuant à ce référentiel interne]]</f>
        <v>0</v>
      </c>
      <c r="O37" s="202">
        <f>SUMIF(Logiciels_sur_site[ID de l''application],Cartographie_Solutions_Sur_Site[[#This Row],[ID de l''application]],Logiciels_sur_site[Émissions totales (kgCO2e)])*Cartographie_Solutions_Sur_Site[[#This Row],[% de l''application contribuant à ce référentiel interne]]</f>
        <v>0</v>
      </c>
    </row>
    <row r="38" spans="1:15" x14ac:dyDescent="0.3">
      <c r="B38" s="176" t="s">
        <v>15</v>
      </c>
      <c r="C38" s="176" t="s">
        <v>126</v>
      </c>
      <c r="D38" s="176" t="s">
        <v>204</v>
      </c>
      <c r="E38" s="213"/>
      <c r="F38" s="198">
        <v>0.3</v>
      </c>
      <c r="G38" s="196"/>
      <c r="H38" s="197"/>
      <c r="I38" s="200" t="str">
        <f>_xlfn.XLOOKUP(Cartographie_Solutions_Sur_Site[[#This Row],[Contrôle NIST]],Contrôle_de_référence_NIST[Contrôle NIST],Contrôle_de_référence_NIST[Sujet du NIST])</f>
        <v>ASSET</v>
      </c>
      <c r="J38" s="201">
        <f>SUMIF(Logiciels_sur_site[ID de l''application],Cartographie_Solutions_Sur_Site[[#This Row],[ID de l''application]],Logiciels_sur_site[Champ d''application 2 (kgCO2e)])*Cartographie_Solutions_Sur_Site[[#This Row],[% de l''application contribuant à ce contrôle NIST]]</f>
        <v>0</v>
      </c>
      <c r="K38" s="201">
        <f>SUMIF(Logiciels_sur_site[ID de l''application],Cartographie_Solutions_Sur_Site[[#This Row],[ID de l''application]],Logiciels_sur_site[Champ d''application 3 (kgCO2e)])*Cartographie_Solutions_Sur_Site[[#This Row],[% de l''application contribuant à ce contrôle NIST]]</f>
        <v>0</v>
      </c>
      <c r="L38" s="202">
        <f>SUMIF(Logiciels_sur_site[ID de l''application],Cartographie_Solutions_Sur_Site[[#This Row],[ID de l''application]],Logiciels_sur_site[Émissions totales (kgCO2e)])*Cartographie_Solutions_Sur_Site[[#This Row],[% de l''application contribuant à ce contrôle NIST]]</f>
        <v>0</v>
      </c>
      <c r="M38" s="202">
        <f>SUMIF(Logiciels_sur_site[ID de l''application],Cartographie_Solutions_Sur_Site[[#This Row],[ID de l''application]],Logiciels_sur_site[Champ d''application 2 (kgCO2e)])*Cartographie_Solutions_Sur_Site[[#This Row],[% de l''application contribuant à ce référentiel interne]]</f>
        <v>0</v>
      </c>
      <c r="N38" s="202">
        <f>SUMIF(Logiciels_sur_site[ID de l''application],Cartographie_Solutions_Sur_Site[[#This Row],[ID de l''application]],Logiciels_sur_site[Champ d''application 3 (kgCO2e)])*Cartographie_Solutions_Sur_Site[[#This Row],[% de l''application contribuant à ce référentiel interne]]</f>
        <v>0</v>
      </c>
      <c r="O38" s="202">
        <f>SUMIF(Logiciels_sur_site[ID de l''application],Cartographie_Solutions_Sur_Site[[#This Row],[ID de l''application]],Logiciels_sur_site[Émissions totales (kgCO2e)])*Cartographie_Solutions_Sur_Site[[#This Row],[% de l''application contribuant à ce référentiel interne]]</f>
        <v>0</v>
      </c>
    </row>
    <row r="39" spans="1:15" x14ac:dyDescent="0.3">
      <c r="B39" s="176" t="s">
        <v>15</v>
      </c>
      <c r="C39" s="176" t="s">
        <v>127</v>
      </c>
      <c r="D39" s="176" t="s">
        <v>205</v>
      </c>
      <c r="E39" s="213"/>
      <c r="F39" s="198">
        <v>0.2</v>
      </c>
      <c r="G39" s="196"/>
      <c r="H39" s="197"/>
      <c r="I39" s="200" t="str">
        <f>_xlfn.XLOOKUP(Cartographie_Solutions_Sur_Site[[#This Row],[Contrôle NIST]],Contrôle_de_référence_NIST[Contrôle NIST],Contrôle_de_référence_NIST[Sujet du NIST])</f>
        <v>ASSET</v>
      </c>
      <c r="J39" s="201">
        <f>SUMIF(Logiciels_sur_site[ID de l''application],Cartographie_Solutions_Sur_Site[[#This Row],[ID de l''application]],Logiciels_sur_site[Champ d''application 2 (kgCO2e)])*Cartographie_Solutions_Sur_Site[[#This Row],[% de l''application contribuant à ce contrôle NIST]]</f>
        <v>0</v>
      </c>
      <c r="K39" s="201">
        <f>SUMIF(Logiciels_sur_site[ID de l''application],Cartographie_Solutions_Sur_Site[[#This Row],[ID de l''application]],Logiciels_sur_site[Champ d''application 3 (kgCO2e)])*Cartographie_Solutions_Sur_Site[[#This Row],[% de l''application contribuant à ce contrôle NIST]]</f>
        <v>0</v>
      </c>
      <c r="L39" s="202">
        <f>SUMIF(Logiciels_sur_site[ID de l''application],Cartographie_Solutions_Sur_Site[[#This Row],[ID de l''application]],Logiciels_sur_site[Émissions totales (kgCO2e)])*Cartographie_Solutions_Sur_Site[[#This Row],[% de l''application contribuant à ce contrôle NIST]]</f>
        <v>0</v>
      </c>
      <c r="M39" s="202">
        <f>SUMIF(Logiciels_sur_site[ID de l''application],Cartographie_Solutions_Sur_Site[[#This Row],[ID de l''application]],Logiciels_sur_site[Champ d''application 2 (kgCO2e)])*Cartographie_Solutions_Sur_Site[[#This Row],[% de l''application contribuant à ce référentiel interne]]</f>
        <v>0</v>
      </c>
      <c r="N39" s="202">
        <f>SUMIF(Logiciels_sur_site[ID de l''application],Cartographie_Solutions_Sur_Site[[#This Row],[ID de l''application]],Logiciels_sur_site[Champ d''application 3 (kgCO2e)])*Cartographie_Solutions_Sur_Site[[#This Row],[% de l''application contribuant à ce référentiel interne]]</f>
        <v>0</v>
      </c>
      <c r="O39" s="202">
        <f>SUMIF(Logiciels_sur_site[ID de l''application],Cartographie_Solutions_Sur_Site[[#This Row],[ID de l''application]],Logiciels_sur_site[Émissions totales (kgCO2e)])*Cartographie_Solutions_Sur_Site[[#This Row],[% de l''application contribuant à ce référentiel interne]]</f>
        <v>0</v>
      </c>
    </row>
    <row r="40" spans="1:15" x14ac:dyDescent="0.3">
      <c r="B40" s="176" t="s">
        <v>15</v>
      </c>
      <c r="C40" s="176" t="s">
        <v>128</v>
      </c>
      <c r="D40" s="176" t="s">
        <v>206</v>
      </c>
      <c r="E40" s="213"/>
      <c r="F40" s="199">
        <v>1</v>
      </c>
      <c r="G40" s="196"/>
      <c r="H40" s="197"/>
      <c r="I40" s="200" t="str">
        <f>_xlfn.XLOOKUP(Cartographie_Solutions_Sur_Site[[#This Row],[Contrôle NIST]],Contrôle_de_référence_NIST[Contrôle NIST],Contrôle_de_référence_NIST[Sujet du NIST])</f>
        <v>ASSET</v>
      </c>
      <c r="J40" s="201">
        <f>SUMIF(Logiciels_sur_site[ID de l''application],Cartographie_Solutions_Sur_Site[[#This Row],[ID de l''application]],Logiciels_sur_site[Champ d''application 2 (kgCO2e)])*Cartographie_Solutions_Sur_Site[[#This Row],[% de l''application contribuant à ce contrôle NIST]]</f>
        <v>0</v>
      </c>
      <c r="K40" s="201">
        <f>SUMIF(Logiciels_sur_site[ID de l''application],Cartographie_Solutions_Sur_Site[[#This Row],[ID de l''application]],Logiciels_sur_site[Champ d''application 3 (kgCO2e)])*Cartographie_Solutions_Sur_Site[[#This Row],[% de l''application contribuant à ce contrôle NIST]]</f>
        <v>0</v>
      </c>
      <c r="L40" s="202">
        <f>SUMIF(Logiciels_sur_site[ID de l''application],Cartographie_Solutions_Sur_Site[[#This Row],[ID de l''application]],Logiciels_sur_site[Émissions totales (kgCO2e)])*Cartographie_Solutions_Sur_Site[[#This Row],[% de l''application contribuant à ce contrôle NIST]]</f>
        <v>0</v>
      </c>
      <c r="M40" s="202">
        <f>SUMIF(Logiciels_sur_site[ID de l''application],Cartographie_Solutions_Sur_Site[[#This Row],[ID de l''application]],Logiciels_sur_site[Champ d''application 2 (kgCO2e)])*Cartographie_Solutions_Sur_Site[[#This Row],[% de l''application contribuant à ce référentiel interne]]</f>
        <v>0</v>
      </c>
      <c r="N40" s="202">
        <f>SUMIF(Logiciels_sur_site[ID de l''application],Cartographie_Solutions_Sur_Site[[#This Row],[ID de l''application]],Logiciels_sur_site[Champ d''application 3 (kgCO2e)])*Cartographie_Solutions_Sur_Site[[#This Row],[% de l''application contribuant à ce référentiel interne]]</f>
        <v>0</v>
      </c>
      <c r="O40" s="202">
        <f>SUMIF(Logiciels_sur_site[ID de l''application],Cartographie_Solutions_Sur_Site[[#This Row],[ID de l''application]],Logiciels_sur_site[Émissions totales (kgCO2e)])*Cartographie_Solutions_Sur_Site[[#This Row],[% de l''application contribuant à ce référentiel interne]]</f>
        <v>0</v>
      </c>
    </row>
    <row r="45" spans="1:15" ht="51" customHeight="1" x14ac:dyDescent="0.3">
      <c r="A45" s="76" t="s">
        <v>775</v>
      </c>
    </row>
    <row r="46" spans="1:15" ht="42" x14ac:dyDescent="0.3">
      <c r="B46" s="49" t="s">
        <v>298</v>
      </c>
      <c r="C46" s="49" t="s">
        <v>589</v>
      </c>
      <c r="D46" s="49" t="s">
        <v>590</v>
      </c>
      <c r="E46" s="49" t="s">
        <v>591</v>
      </c>
      <c r="F46" s="49" t="s">
        <v>636</v>
      </c>
      <c r="G46" s="49" t="s">
        <v>622</v>
      </c>
      <c r="H46" s="49" t="s">
        <v>637</v>
      </c>
      <c r="I46" s="49" t="s">
        <v>299</v>
      </c>
      <c r="J46" s="49" t="s">
        <v>638</v>
      </c>
      <c r="K46" s="49" t="s">
        <v>639</v>
      </c>
      <c r="L46" s="49" t="s">
        <v>640</v>
      </c>
      <c r="M46" s="49" t="s">
        <v>641</v>
      </c>
      <c r="N46" s="49" t="s">
        <v>642</v>
      </c>
      <c r="O46" s="49" t="s">
        <v>643</v>
      </c>
    </row>
    <row r="47" spans="1:15" x14ac:dyDescent="0.3">
      <c r="B47" s="176" t="s">
        <v>83</v>
      </c>
      <c r="C47" s="176" t="s">
        <v>134</v>
      </c>
      <c r="D47" s="176"/>
      <c r="E47" s="213"/>
      <c r="F47" s="199">
        <v>1</v>
      </c>
      <c r="G47" s="196"/>
      <c r="H47" s="197">
        <v>1</v>
      </c>
      <c r="I47" s="200" t="str">
        <f>_xlfn.XLOOKUP(Cartographie_Solutions_sur_Cloud[[#This Row],[Contrôle NIST]],Contrôle_de_référence_NIST[Contrôle NIST],Contrôle_de_référence_NIST[Sujet du NIST])</f>
        <v>TP</v>
      </c>
      <c r="J47" s="202">
        <f>IFERROR(SUMIF(Methodologie_du_serveur_logiciels_sur_cloud[ID de l''application],Cartographie_Solutions_sur_Cloud[[#This Row],[ID de l''application]],Logiciels_sur_site[Champ d''application 2 (kgCO2e)])*Cartographie_Solutions_sur_Cloud[[#This Row],[% de l''application contribuant à ce contrôle NIST]],0)</f>
        <v>0</v>
      </c>
      <c r="K47"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1595568.666</v>
      </c>
      <c r="L47"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1595568.666</v>
      </c>
      <c r="M47" s="202">
        <f>IFERROR(SUMIF(Methodologie_du_serveur_logiciels_sur_cloud[ID de l''application],Cartographie_Solutions_sur_Cloud[[#This Row],[ID de l''application]],Logiciels_sur_site[Champ d''application 2 (kgCO2e)])*Cartographie_Solutions_sur_Cloud[[#This Row],[% de l''application contribuant à ce référentiel interne]],0)</f>
        <v>0</v>
      </c>
      <c r="N47"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1595568.666</v>
      </c>
      <c r="O47"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1595568.666</v>
      </c>
    </row>
    <row r="48" spans="1:15" x14ac:dyDescent="0.3">
      <c r="B48" s="176" t="s">
        <v>80</v>
      </c>
      <c r="C48" s="176" t="s">
        <v>131</v>
      </c>
      <c r="D48" s="176" t="s">
        <v>148</v>
      </c>
      <c r="E48" s="213"/>
      <c r="F48" s="199">
        <v>1</v>
      </c>
      <c r="G48" s="196"/>
      <c r="H48" s="197"/>
      <c r="I48" s="200" t="str">
        <f>_xlfn.XLOOKUP(Cartographie_Solutions_sur_Cloud[[#This Row],[Contrôle NIST]],Contrôle_de_référence_NIST[Contrôle NIST],Contrôle_de_référence_NIST[Sujet du NIST])</f>
        <v>RISK</v>
      </c>
      <c r="J48" s="202">
        <f>IFERROR(SUMIF(Methodologie_du_serveur_logiciels_sur_cloud[ID de l''application],Cartographie_Solutions_sur_Cloud[[#This Row],[ID de l''application]],Logiciels_sur_site[Champ d''application 2 (kgCO2e)])*Cartographie_Solutions_sur_Cloud[[#This Row],[% de l''application contribuant à ce contrôle NIST]],0)</f>
        <v>0</v>
      </c>
      <c r="K48"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0</v>
      </c>
      <c r="L48"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0</v>
      </c>
      <c r="M48" s="202">
        <f>IFERROR(SUMIF(Methodologie_du_serveur_logiciels_sur_cloud[ID de l''application],Cartographie_Solutions_sur_Cloud[[#This Row],[ID de l''application]],Logiciels_sur_site[Champ d''application 2 (kgCO2e)])*Cartographie_Solutions_sur_Cloud[[#This Row],[% de l''application contribuant à ce référentiel interne]],0)</f>
        <v>0</v>
      </c>
      <c r="N48"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c r="O48"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row>
    <row r="49" spans="2:15" x14ac:dyDescent="0.3">
      <c r="B49" s="176" t="s">
        <v>15</v>
      </c>
      <c r="C49" s="176" t="s">
        <v>130</v>
      </c>
      <c r="D49" s="176"/>
      <c r="E49" s="213"/>
      <c r="F49" s="199">
        <v>1</v>
      </c>
      <c r="G49" s="196"/>
      <c r="H49" s="197"/>
      <c r="I49" s="200" t="str">
        <f>_xlfn.XLOOKUP(Cartographie_Solutions_sur_Cloud[[#This Row],[Contrôle NIST]],Contrôle_de_référence_NIST[Contrôle NIST],Contrôle_de_référence_NIST[Sujet du NIST])</f>
        <v>ASSET</v>
      </c>
      <c r="J49" s="202">
        <f>IFERROR(SUMIF(Methodologie_du_serveur_logiciels_sur_cloud[ID de l''application],Cartographie_Solutions_sur_Cloud[[#This Row],[ID de l''application]],Logiciels_sur_site[Champ d''application 2 (kgCO2e)])*Cartographie_Solutions_sur_Cloud[[#This Row],[% de l''application contribuant à ce contrôle NIST]],0)</f>
        <v>0</v>
      </c>
      <c r="K49"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0</v>
      </c>
      <c r="L49"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0</v>
      </c>
      <c r="M49" s="202">
        <f>IFERROR(SUMIF(Methodologie_du_serveur_logiciels_sur_cloud[ID de l''application],Cartographie_Solutions_sur_Cloud[[#This Row],[ID de l''application]],Logiciels_sur_site[Champ d''application 2 (kgCO2e)])*Cartographie_Solutions_sur_Cloud[[#This Row],[% de l''application contribuant à ce référentiel interne]],0)</f>
        <v>0</v>
      </c>
      <c r="N49"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c r="O49"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row>
    <row r="50" spans="2:15" x14ac:dyDescent="0.3">
      <c r="B50" s="176" t="s">
        <v>15</v>
      </c>
      <c r="C50" s="176" t="s">
        <v>135</v>
      </c>
      <c r="D50" s="176"/>
      <c r="E50" s="213"/>
      <c r="F50" s="199">
        <v>1</v>
      </c>
      <c r="G50" s="196"/>
      <c r="H50" s="197"/>
      <c r="I50" s="200" t="str">
        <f>_xlfn.XLOOKUP(Cartographie_Solutions_sur_Cloud[[#This Row],[Contrôle NIST]],Contrôle_de_référence_NIST[Contrôle NIST],Contrôle_de_référence_NIST[Sujet du NIST])</f>
        <v>ASSET</v>
      </c>
      <c r="J50" s="202">
        <f>IFERROR(SUMIF(Methodologie_du_serveur_logiciels_sur_cloud[ID de l''application],Cartographie_Solutions_sur_Cloud[[#This Row],[ID de l''application]],Logiciels_sur_site[Champ d''application 2 (kgCO2e)])*Cartographie_Solutions_sur_Cloud[[#This Row],[% de l''application contribuant à ce contrôle NIST]],0)</f>
        <v>0</v>
      </c>
      <c r="K50"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1595568.666</v>
      </c>
      <c r="L50"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1595568.666</v>
      </c>
      <c r="M50" s="202">
        <f>IFERROR(SUMIF(Methodologie_du_serveur_logiciels_sur_cloud[ID de l''application],Cartographie_Solutions_sur_Cloud[[#This Row],[ID de l''application]],Logiciels_sur_site[Champ d''application 2 (kgCO2e)])*Cartographie_Solutions_sur_Cloud[[#This Row],[% de l''application contribuant à ce référentiel interne]],0)</f>
        <v>0</v>
      </c>
      <c r="N50"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c r="O50"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row>
    <row r="51" spans="2:15" x14ac:dyDescent="0.3">
      <c r="B51" s="176" t="s">
        <v>57</v>
      </c>
      <c r="C51" s="176" t="s">
        <v>136</v>
      </c>
      <c r="D51" s="176"/>
      <c r="E51" s="213"/>
      <c r="F51" s="199">
        <v>1</v>
      </c>
      <c r="G51" s="196"/>
      <c r="H51" s="197"/>
      <c r="I51" s="200" t="str">
        <f>_xlfn.XLOOKUP(Cartographie_Solutions_sur_Cloud[[#This Row],[Contrôle NIST]],Contrôle_de_référence_NIST[Contrôle NIST],Contrôle_de_référence_NIST[Sujet du NIST])</f>
        <v>NTW</v>
      </c>
      <c r="J51" s="202">
        <f>IFERROR(SUMIF(Methodologie_du_serveur_logiciels_sur_cloud[ID de l''application],Cartographie_Solutions_sur_Cloud[[#This Row],[ID de l''application]],Logiciels_sur_site[Champ d''application 2 (kgCO2e)])*Cartographie_Solutions_sur_Cloud[[#This Row],[% de l''application contribuant à ce contrôle NIST]],0)</f>
        <v>0</v>
      </c>
      <c r="K51"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1223269.311</v>
      </c>
      <c r="L51"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contrôle NIST]],0)
+IFERROR(SUMIF(Methodogie_des_couts_Logiciels_dans_le_cloud[ID de la demande],Cartographie_Solutions_sur_Cloud[[#This Row],[ID de l''application]],Methodogie_des_couts_Logiciels_dans_le_cloud[Émissions totales (kgCO2e)])*Cartographie_Solutions_sur_Cloud[[#This Row],[% de l''application contribuant à ce contrôle NIST]],0)</f>
        <v>1223269.311</v>
      </c>
      <c r="M51" s="202">
        <f>IFERROR(SUMIF(Methodologie_du_serveur_logiciels_sur_cloud[ID de l''application],Cartographie_Solutions_sur_Cloud[[#This Row],[ID de l''application]],Logiciels_sur_site[Champ d''application 2 (kgCO2e)])*Cartographie_Solutions_sur_Cloud[[#This Row],[% de l''application contribuant à ce référentiel interne]],0)</f>
        <v>0</v>
      </c>
      <c r="N51" s="202">
        <f>IFERROR(SUMIF(Methodologie_du_serveur_logiciels_sur_cloud[ID de l''application],Cartographie_Solutions_sur_Cloud[[#This Row],[ID de l''application]],Methodologie_du_serveur_logiciels_sur_cloud[Champ d''application 3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c r="O51" s="202">
        <f>IFERROR(SUMIF(Methodologie_du_serveur_logiciels_sur_cloud[ID de l''application],Cartographie_Solutions_sur_Cloud[[#This Row],[ID de l''application]],Methodologie_du_serveur_logiciels_sur_cloud[Émissions totales (kgCO2e)])*Cartographie_Solutions_sur_Cloud[[#This Row],[% de l''application contribuant à ce référentiel interne]],0)
+IFERROR(SUMIF(Methodogie_des_couts_Logiciels_dans_le_cloud[ID de la demande],Cartographie_Solutions_sur_Cloud[[#This Row],[ID de l''application]],Methodogie_des_couts_Logiciels_dans_le_cloud[Émissions totales (kgCO2e)])*Cartographie_Solutions_sur_Cloud[[#This Row],[% de l''application contribuant à ce référentiel interne]],0)</f>
        <v>0</v>
      </c>
    </row>
  </sheetData>
  <phoneticPr fontId="12" type="noConversion"/>
  <pageMargins left="0.7" right="0.7" top="0.75" bottom="0.75" header="0.3" footer="0.3"/>
  <tableParts count="3">
    <tablePart r:id="rId1"/>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BC44-08D9-48BA-ADBD-25923AE77377}">
  <sheetPr>
    <tabColor theme="5" tint="0.79998168889431442"/>
  </sheetPr>
  <dimension ref="A2:K50"/>
  <sheetViews>
    <sheetView showGridLines="0" topLeftCell="A42" zoomScale="83" zoomScaleNormal="40" workbookViewId="0">
      <selection activeCell="A10" sqref="A10"/>
    </sheetView>
  </sheetViews>
  <sheetFormatPr baseColWidth="10" defaultColWidth="8.75" defaultRowHeight="14" outlineLevelRow="1" x14ac:dyDescent="0.3"/>
  <cols>
    <col min="1" max="1" width="43.1640625" customWidth="1"/>
    <col min="2" max="2" width="36.75" customWidth="1"/>
    <col min="3" max="3" width="30.75" customWidth="1"/>
    <col min="4" max="4" width="45.75" customWidth="1"/>
    <col min="5" max="5" width="29.4140625" customWidth="1"/>
    <col min="6" max="6" width="26.75" customWidth="1"/>
    <col min="7" max="7" width="24.9140625" customWidth="1"/>
    <col min="8" max="8" width="23.4140625" customWidth="1"/>
    <col min="9" max="9" width="19.1640625" customWidth="1"/>
    <col min="10" max="10" width="24.75" customWidth="1"/>
    <col min="11" max="11" width="25.75" customWidth="1"/>
  </cols>
  <sheetData>
    <row r="2" spans="1:5" ht="15.5" x14ac:dyDescent="0.35">
      <c r="A2" s="127" t="s">
        <v>215</v>
      </c>
    </row>
    <row r="3" spans="1:5" ht="15.5" x14ac:dyDescent="0.35">
      <c r="B3" s="113" t="s">
        <v>216</v>
      </c>
    </row>
    <row r="4" spans="1:5" ht="42" x14ac:dyDescent="0.3">
      <c r="B4" s="147" t="s">
        <v>227</v>
      </c>
    </row>
    <row r="5" spans="1:5" ht="42" x14ac:dyDescent="0.3">
      <c r="B5" s="225" t="s">
        <v>228</v>
      </c>
    </row>
    <row r="6" spans="1:5" ht="42" x14ac:dyDescent="0.3">
      <c r="B6" s="228" t="s">
        <v>229</v>
      </c>
    </row>
    <row r="7" spans="1:5" ht="42" x14ac:dyDescent="0.3">
      <c r="B7" s="229" t="s">
        <v>230</v>
      </c>
    </row>
    <row r="8" spans="1:5" x14ac:dyDescent="0.3">
      <c r="B8" s="117" t="s">
        <v>225</v>
      </c>
    </row>
    <row r="10" spans="1:5" ht="15.5" x14ac:dyDescent="0.35">
      <c r="A10" s="230" t="s">
        <v>620</v>
      </c>
    </row>
    <row r="11" spans="1:5" ht="28" x14ac:dyDescent="0.3">
      <c r="B11" s="105" t="s">
        <v>644</v>
      </c>
      <c r="C11" s="109">
        <f>SUM(Cartographie_des_résultats_externes_par_sujet[Total des émissions des services extérieurs (kgCO2e)])/1000</f>
        <v>391.38189693842082</v>
      </c>
    </row>
    <row r="12" spans="1:5" ht="28" x14ac:dyDescent="0.3">
      <c r="B12" s="107" t="str">
        <f>"Champ d'application 2 "&amp;B11</f>
        <v>Champ d'application 2 Émissions des services extérieurs (tCO2e)</v>
      </c>
      <c r="C12" s="109">
        <v>0</v>
      </c>
    </row>
    <row r="13" spans="1:5" ht="28" x14ac:dyDescent="0.3">
      <c r="B13" s="107" t="str">
        <f>"Champ d'application 3 "&amp;B11</f>
        <v>Champ d'application 3 Émissions des services extérieurs (tCO2e)</v>
      </c>
      <c r="C13" s="109">
        <f>SUM(Cartographie_des_TM_externes[Émissions de carbone du NIST (kgCO2e)],Cartographie_des_externes_prix_fixes[Émissions de carbone du NIST (kgCO2e)])/1000</f>
        <v>391.38189693842082</v>
      </c>
    </row>
    <row r="15" spans="1:5" ht="28" outlineLevel="1" x14ac:dyDescent="0.3">
      <c r="B15" s="89" t="s">
        <v>417</v>
      </c>
      <c r="C15" s="89" t="s">
        <v>645</v>
      </c>
      <c r="D15" s="89" t="s">
        <v>599</v>
      </c>
      <c r="E15" s="89" t="s">
        <v>600</v>
      </c>
    </row>
    <row r="16" spans="1:5" outlineLevel="1" x14ac:dyDescent="0.3">
      <c r="B16" s="100" t="s">
        <v>0</v>
      </c>
      <c r="C16" s="110">
        <f>SUM(Cartographie_des_résultats_externes_par_sujet[[#This Row],[T&amp;M Services dédiés au cyberespace]:[Services à prix fixe dédiés à la cybernétique]])</f>
        <v>0</v>
      </c>
      <c r="D16" s="110">
        <f>SUMIF(Cartographie_des_TM_externes[Sujet du NIST],Cartographie_des_résultats_externes_par_sujet[[#This Row],[Sujet]],Cartographie_des_TM_externes[Émissions de carbone du NIST (kgCO2e)])</f>
        <v>0</v>
      </c>
      <c r="E16" s="110">
        <f>SUMIF(Cartographie_des_externes_prix_fixes[Sujet du NIST],Cartographie_des_résultats_externes_par_sujet[[#This Row],[Sujet]],Cartographie_des_externes_prix_fixes[Émissions de carbone du NIST (kgCO2e)])</f>
        <v>0</v>
      </c>
    </row>
    <row r="17" spans="2:5" outlineLevel="1" x14ac:dyDescent="0.3">
      <c r="B17" s="100" t="s">
        <v>1</v>
      </c>
      <c r="C17" s="110">
        <f>SUM(Cartographie_des_résultats_externes_par_sujet[[#This Row],[T&amp;M Services dédiés au cyberespace]:[Services à prix fixe dédiés à la cybernétique]])</f>
        <v>7441.8396597186011</v>
      </c>
      <c r="D17" s="110">
        <f>SUMIF(Cartographie_des_TM_externes[Sujet du NIST],Cartographie_des_résultats_externes_par_sujet[[#This Row],[Sujet]],Cartographie_des_TM_externes[Émissions de carbone du NIST (kgCO2e)])</f>
        <v>7335.2700491382002</v>
      </c>
      <c r="E17" s="110">
        <f>SUMIF(Cartographie_des_externes_prix_fixes[Sujet du NIST],Cartographie_des_résultats_externes_par_sujet[[#This Row],[Sujet]],Cartographie_des_externes_prix_fixes[Émissions de carbone du NIST (kgCO2e)])</f>
        <v>106.56961058040093</v>
      </c>
    </row>
    <row r="18" spans="2:5" outlineLevel="1" x14ac:dyDescent="0.3">
      <c r="B18" s="100" t="s">
        <v>2</v>
      </c>
      <c r="C18" s="110">
        <f>SUM(Cartographie_des_résultats_externes_par_sujet[[#This Row],[T&amp;M Services dédiés au cyberespace]:[Services à prix fixe dédiés à la cybernétique]])</f>
        <v>0</v>
      </c>
      <c r="D18" s="110">
        <f>SUMIF(Cartographie_des_TM_externes[Sujet du NIST],Cartographie_des_résultats_externes_par_sujet[[#This Row],[Sujet]],Cartographie_des_TM_externes[Émissions de carbone du NIST (kgCO2e)])</f>
        <v>0</v>
      </c>
      <c r="E18" s="110">
        <f>SUMIF(Cartographie_des_externes_prix_fixes[Sujet du NIST],Cartographie_des_résultats_externes_par_sujet[[#This Row],[Sujet]],Cartographie_des_externes_prix_fixes[Émissions de carbone du NIST (kgCO2e)])</f>
        <v>0</v>
      </c>
    </row>
    <row r="19" spans="2:5" outlineLevel="1" x14ac:dyDescent="0.3">
      <c r="B19" s="100" t="s">
        <v>3</v>
      </c>
      <c r="C19" s="110">
        <f>SUM(Cartographie_des_résultats_externes_par_sujet[[#This Row],[T&amp;M Services dédiés au cyberespace]:[Services à prix fixe dédiés à la cybernétique]])</f>
        <v>0</v>
      </c>
      <c r="D19" s="110">
        <f>SUMIF(Cartographie_des_TM_externes[Sujet du NIST],Cartographie_des_résultats_externes_par_sujet[[#This Row],[Sujet]],Cartographie_des_TM_externes[Émissions de carbone du NIST (kgCO2e)])</f>
        <v>0</v>
      </c>
      <c r="E19" s="110">
        <f>SUMIF(Cartographie_des_externes_prix_fixes[Sujet du NIST],Cartographie_des_résultats_externes_par_sujet[[#This Row],[Sujet]],Cartographie_des_externes_prix_fixes[Émissions de carbone du NIST (kgCO2e)])</f>
        <v>0</v>
      </c>
    </row>
    <row r="20" spans="2:5" outlineLevel="1" x14ac:dyDescent="0.3">
      <c r="B20" s="100" t="s">
        <v>4</v>
      </c>
      <c r="C20" s="110">
        <f>SUM(Cartographie_des_résultats_externes_par_sujet[[#This Row],[T&amp;M Services dédiés au cyberespace]:[Services à prix fixe dédiés à la cybernétique]])</f>
        <v>0</v>
      </c>
      <c r="D20" s="110">
        <f>SUMIF(Cartographie_des_TM_externes[Sujet du NIST],Cartographie_des_résultats_externes_par_sujet[[#This Row],[Sujet]],Cartographie_des_TM_externes[Émissions de carbone du NIST (kgCO2e)])</f>
        <v>0</v>
      </c>
      <c r="E20" s="110">
        <f>SUMIF(Cartographie_des_externes_prix_fixes[Sujet du NIST],Cartographie_des_résultats_externes_par_sujet[[#This Row],[Sujet]],Cartographie_des_externes_prix_fixes[Émissions de carbone du NIST (kgCO2e)])</f>
        <v>0</v>
      </c>
    </row>
    <row r="21" spans="2:5" outlineLevel="1" x14ac:dyDescent="0.3">
      <c r="B21" s="100" t="s">
        <v>5</v>
      </c>
      <c r="C21" s="110">
        <f>SUM(Cartographie_des_résultats_externes_par_sujet[[#This Row],[T&amp;M Services dédiés au cyberespace]:[Services à prix fixe dédiés à la cybernétique]])</f>
        <v>0</v>
      </c>
      <c r="D21" s="110">
        <f>SUMIF(Cartographie_des_TM_externes[Sujet du NIST],Cartographie_des_résultats_externes_par_sujet[[#This Row],[Sujet]],Cartographie_des_TM_externes[Émissions de carbone du NIST (kgCO2e)])</f>
        <v>0</v>
      </c>
      <c r="E21" s="110">
        <f>SUMIF(Cartographie_des_externes_prix_fixes[Sujet du NIST],Cartographie_des_résultats_externes_par_sujet[[#This Row],[Sujet]],Cartographie_des_externes_prix_fixes[Émissions de carbone du NIST (kgCO2e)])</f>
        <v>0</v>
      </c>
    </row>
    <row r="22" spans="2:5" outlineLevel="1" x14ac:dyDescent="0.3">
      <c r="B22" s="100" t="s">
        <v>6</v>
      </c>
      <c r="C22" s="110">
        <f>SUM(Cartographie_des_résultats_externes_par_sujet[[#This Row],[T&amp;M Services dédiés au cyberespace]:[Services à prix fixe dédiés à la cybernétique]])</f>
        <v>0</v>
      </c>
      <c r="D22" s="110">
        <f>SUMIF(Cartographie_des_TM_externes[Sujet du NIST],Cartographie_des_résultats_externes_par_sujet[[#This Row],[Sujet]],Cartographie_des_TM_externes[Émissions de carbone du NIST (kgCO2e)])</f>
        <v>0</v>
      </c>
      <c r="E22" s="110">
        <f>SUMIF(Cartographie_des_externes_prix_fixes[Sujet du NIST],Cartographie_des_résultats_externes_par_sujet[[#This Row],[Sujet]],Cartographie_des_externes_prix_fixes[Émissions de carbone du NIST (kgCO2e)])</f>
        <v>0</v>
      </c>
    </row>
    <row r="23" spans="2:5" outlineLevel="1" x14ac:dyDescent="0.3">
      <c r="B23" s="100" t="s">
        <v>7</v>
      </c>
      <c r="C23" s="110">
        <f>SUM(Cartographie_des_résultats_externes_par_sujet[[#This Row],[T&amp;M Services dédiés au cyberespace]:[Services à prix fixe dédiés à la cybernétique]])</f>
        <v>0</v>
      </c>
      <c r="D23" s="110">
        <f>SUMIF(Cartographie_des_TM_externes[Sujet du NIST],Cartographie_des_résultats_externes_par_sujet[[#This Row],[Sujet]],Cartographie_des_TM_externes[Émissions de carbone du NIST (kgCO2e)])</f>
        <v>0</v>
      </c>
      <c r="E23" s="110">
        <f>SUMIF(Cartographie_des_externes_prix_fixes[Sujet du NIST],Cartographie_des_résultats_externes_par_sujet[[#This Row],[Sujet]],Cartographie_des_externes_prix_fixes[Émissions de carbone du NIST (kgCO2e)])</f>
        <v>0</v>
      </c>
    </row>
    <row r="24" spans="2:5" outlineLevel="1" x14ac:dyDescent="0.3">
      <c r="B24" s="100" t="s">
        <v>8</v>
      </c>
      <c r="C24" s="110">
        <f>SUM(Cartographie_des_résultats_externes_par_sujet[[#This Row],[T&amp;M Services dédiés au cyberespace]:[Services à prix fixe dédiés à la cybernétique]])</f>
        <v>0</v>
      </c>
      <c r="D24" s="110">
        <f>SUMIF(Cartographie_des_TM_externes[Sujet du NIST],Cartographie_des_résultats_externes_par_sujet[[#This Row],[Sujet]],Cartographie_des_TM_externes[Émissions de carbone du NIST (kgCO2e)])</f>
        <v>0</v>
      </c>
      <c r="E24" s="110">
        <f>SUMIF(Cartographie_des_externes_prix_fixes[Sujet du NIST],Cartographie_des_résultats_externes_par_sujet[[#This Row],[Sujet]],Cartographie_des_externes_prix_fixes[Émissions de carbone du NIST (kgCO2e)])</f>
        <v>0</v>
      </c>
    </row>
    <row r="25" spans="2:5" outlineLevel="1" x14ac:dyDescent="0.3">
      <c r="B25" s="100" t="s">
        <v>9</v>
      </c>
      <c r="C25" s="110">
        <f>SUM(Cartographie_des_résultats_externes_par_sujet[[#This Row],[T&amp;M Services dédiés au cyberespace]:[Services à prix fixe dédiés à la cybernétique]])</f>
        <v>15470.355135921536</v>
      </c>
      <c r="D25" s="110">
        <f>SUMIF(Cartographie_des_TM_externes[Sujet du NIST],Cartographie_des_résultats_externes_par_sujet[[#This Row],[Sujet]],Cartographie_des_TM_externes[Émissions de carbone du NIST (kgCO2e)])</f>
        <v>15363.785525341134</v>
      </c>
      <c r="E25" s="110">
        <f>SUMIF(Cartographie_des_externes_prix_fixes[Sujet du NIST],Cartographie_des_résultats_externes_par_sujet[[#This Row],[Sujet]],Cartographie_des_externes_prix_fixes[Émissions de carbone du NIST (kgCO2e)])</f>
        <v>106.56961058040093</v>
      </c>
    </row>
    <row r="26" spans="2:5" outlineLevel="1" x14ac:dyDescent="0.3">
      <c r="B26" s="100" t="s">
        <v>10</v>
      </c>
      <c r="C26" s="110">
        <f>SUM(Cartographie_des_résultats_externes_par_sujet[[#This Row],[T&amp;M Services dédiés au cyberespace]:[Services à prix fixe dédiés à la cybernétique]])</f>
        <v>0</v>
      </c>
      <c r="D26" s="110">
        <f>SUMIF(Cartographie_des_TM_externes[Sujet du NIST],Cartographie_des_résultats_externes_par_sujet[[#This Row],[Sujet]],Cartographie_des_TM_externes[Émissions de carbone du NIST (kgCO2e)])</f>
        <v>0</v>
      </c>
      <c r="E26" s="110">
        <f>SUMIF(Cartographie_des_externes_prix_fixes[Sujet du NIST],Cartographie_des_résultats_externes_par_sujet[[#This Row],[Sujet]],Cartographie_des_externes_prix_fixes[Émissions de carbone du NIST (kgCO2e)])</f>
        <v>0</v>
      </c>
    </row>
    <row r="27" spans="2:5" outlineLevel="1" x14ac:dyDescent="0.3">
      <c r="B27" s="100" t="s">
        <v>11</v>
      </c>
      <c r="C27" s="110">
        <f>SUM(Cartographie_des_résultats_externes_par_sujet[[#This Row],[T&amp;M Services dédiés au cyberespace]:[Services à prix fixe dédiés à la cybernétique]])</f>
        <v>0</v>
      </c>
      <c r="D27" s="110">
        <f>SUMIF(Cartographie_des_TM_externes[Sujet du NIST],Cartographie_des_résultats_externes_par_sujet[[#This Row],[Sujet]],Cartographie_des_TM_externes[Émissions de carbone du NIST (kgCO2e)])</f>
        <v>0</v>
      </c>
      <c r="E27" s="110">
        <f>SUMIF(Cartographie_des_externes_prix_fixes[Sujet du NIST],Cartographie_des_résultats_externes_par_sujet[[#This Row],[Sujet]],Cartographie_des_externes_prix_fixes[Émissions de carbone du NIST (kgCO2e)])</f>
        <v>0</v>
      </c>
    </row>
    <row r="28" spans="2:5" outlineLevel="1" x14ac:dyDescent="0.3">
      <c r="B28" s="100" t="s">
        <v>12</v>
      </c>
      <c r="C28" s="110">
        <f>SUM(Cartographie_des_résultats_externes_par_sujet[[#This Row],[T&amp;M Services dédiés au cyberespace]:[Services à prix fixe dédiés à la cybernétique]])</f>
        <v>319.7088317412028</v>
      </c>
      <c r="D28" s="110">
        <f>SUMIF(Cartographie_des_TM_externes[Sujet du NIST],Cartographie_des_résultats_externes_par_sujet[[#This Row],[Sujet]],Cartographie_des_TM_externes[Émissions de carbone du NIST (kgCO2e)])</f>
        <v>0</v>
      </c>
      <c r="E28" s="110">
        <f>SUMIF(Cartographie_des_externes_prix_fixes[Sujet du NIST],Cartographie_des_résultats_externes_par_sujet[[#This Row],[Sujet]],Cartographie_des_externes_prix_fixes[Émissions de carbone du NIST (kgCO2e)])</f>
        <v>319.7088317412028</v>
      </c>
    </row>
    <row r="29" spans="2:5" outlineLevel="1" x14ac:dyDescent="0.3">
      <c r="B29" s="100" t="s">
        <v>13</v>
      </c>
      <c r="C29" s="110">
        <f>SUM(Cartographie_des_résultats_externes_par_sujet[[#This Row],[T&amp;M Services dédiés au cyberespace]:[Services à prix fixe dédiés à la cybernétique]])</f>
        <v>368149.99331103952</v>
      </c>
      <c r="D29" s="110">
        <f>SUMIF(Cartographie_des_TM_externes[Sujet du NIST],Cartographie_des_résultats_externes_par_sujet[[#This Row],[Sujet]],Cartographie_des_TM_externes[Émissions de carbone du NIST (kgCO2e)])</f>
        <v>337422.42226035724</v>
      </c>
      <c r="E29" s="110">
        <f>SUMIF(Cartographie_des_externes_prix_fixes[Sujet du NIST],Cartographie_des_résultats_externes_par_sujet[[#This Row],[Sujet]],Cartographie_des_externes_prix_fixes[Émissions de carbone du NIST (kgCO2e)])</f>
        <v>30727.571050682269</v>
      </c>
    </row>
    <row r="30" spans="2:5" x14ac:dyDescent="0.3">
      <c r="B30" s="20" t="s">
        <v>147</v>
      </c>
      <c r="C30" s="112">
        <f>SUM(Cartographie_des_résultats_externes_par_sujet[Total des émissions des services extérieurs (kgCO2e)])</f>
        <v>391381.89693842083</v>
      </c>
      <c r="D30" s="112">
        <f>SUM(Cartographie_des_résultats_externes_par_sujet[T&amp;M Services dédiés au cyberespace])</f>
        <v>360121.47783483658</v>
      </c>
      <c r="E30" s="112">
        <f>SUM(Cartographie_des_résultats_externes_par_sujet[Services à prix fixe dédiés à la cybernétique])</f>
        <v>31260.419103584274</v>
      </c>
    </row>
    <row r="33" spans="1:11" ht="20" x14ac:dyDescent="0.3">
      <c r="A33" s="236" t="s">
        <v>646</v>
      </c>
    </row>
    <row r="34" spans="1:11" ht="42" x14ac:dyDescent="0.3">
      <c r="B34" s="49" t="s">
        <v>298</v>
      </c>
      <c r="C34" s="49" t="s">
        <v>602</v>
      </c>
      <c r="D34" s="49" t="s">
        <v>603</v>
      </c>
      <c r="E34" s="49" t="s">
        <v>647</v>
      </c>
      <c r="F34" s="49" t="s">
        <v>648</v>
      </c>
      <c r="G34" s="49" t="s">
        <v>622</v>
      </c>
      <c r="H34" s="49" t="s">
        <v>637</v>
      </c>
      <c r="I34" s="49" t="s">
        <v>299</v>
      </c>
      <c r="J34" s="49" t="s">
        <v>649</v>
      </c>
      <c r="K34" s="49" t="s">
        <v>650</v>
      </c>
    </row>
    <row r="35" spans="1:11" x14ac:dyDescent="0.3">
      <c r="B35" s="176" t="s">
        <v>83</v>
      </c>
      <c r="C35" s="176" t="s">
        <v>149</v>
      </c>
      <c r="D35" s="176"/>
      <c r="E35" s="213"/>
      <c r="F35" s="195">
        <v>0.5</v>
      </c>
      <c r="G35" s="196"/>
      <c r="H35" s="197"/>
      <c r="I35" s="203" t="str">
        <f>_xlfn.XLOOKUP(Cartographie_des_TM_externes[[#This Row],[Contrôle NIST]],Contrôle_de_référence_NIST[Contrôle NIST],Contrôle_de_référence_NIST[Sujet du NIST])</f>
        <v>TP</v>
      </c>
      <c r="J35" s="202">
        <f>IFERROR(SUMIF(TM_Externes[ID du service],Cartographie_des_TM_externes[[#This Row],[ID du service]],TM_Externes[Émissions totales (kgCO2e)])*Cartographie_des_TM_externes[[#This Row],[% de l''application contribuant 
à ce contrôle NIST]],0)</f>
        <v>337422.42226035724</v>
      </c>
      <c r="K35" s="202">
        <f>IFERROR(_xlfn.XLOOKUP(Cartographie_des_TM_externes[[#This Row],[ID du service]],TM_Externes[ID du service],TM_Externes[Émissions totales (kgCO2e)])*Cartographie_des_TM_externes[[#This Row],[% de l''application contribuant à ce référentiel interne]],0)</f>
        <v>0</v>
      </c>
    </row>
    <row r="36" spans="1:11" x14ac:dyDescent="0.3">
      <c r="B36" s="176" t="s">
        <v>80</v>
      </c>
      <c r="C36" s="176" t="s">
        <v>150</v>
      </c>
      <c r="D36" s="176"/>
      <c r="E36" s="213"/>
      <c r="F36" s="198">
        <v>0.5</v>
      </c>
      <c r="G36" s="196"/>
      <c r="H36" s="197"/>
      <c r="I36" s="203" t="str">
        <f>_xlfn.XLOOKUP(Cartographie_des_TM_externes[[#This Row],[Contrôle NIST]],Contrôle_de_référence_NIST[Contrôle NIST],Contrôle_de_référence_NIST[Sujet du NIST])</f>
        <v>RISK</v>
      </c>
      <c r="J36" s="202">
        <f>IFERROR(SUMIF(TM_Externes[ID du service],Cartographie_des_TM_externes[[#This Row],[ID du service]],TM_Externes[Émissions totales (kgCO2e)])*Cartographie_des_TM_externes[[#This Row],[% de l''application contribuant 
à ce contrôle NIST]],0)</f>
        <v>0</v>
      </c>
      <c r="K36" s="202">
        <f>IFERROR(_xlfn.XLOOKUP(Cartographie_des_TM_externes[[#This Row],[ID du service]],TM_Externes[ID du service],TM_Externes[Émissions totales (kgCO2e)])*Cartographie_des_TM_externes[[#This Row],[% de l''application contribuant à ce référentiel interne]],0)</f>
        <v>0</v>
      </c>
    </row>
    <row r="37" spans="1:11" x14ac:dyDescent="0.3">
      <c r="B37" s="176" t="s">
        <v>15</v>
      </c>
      <c r="C37" s="176" t="s">
        <v>151</v>
      </c>
      <c r="D37" s="176"/>
      <c r="E37" s="213"/>
      <c r="F37" s="198">
        <v>0.5</v>
      </c>
      <c r="G37" s="196"/>
      <c r="H37" s="197"/>
      <c r="I37" s="203" t="str">
        <f>_xlfn.XLOOKUP(Cartographie_des_TM_externes[[#This Row],[Contrôle NIST]],Contrôle_de_référence_NIST[Contrôle NIST],Contrôle_de_référence_NIST[Sujet du NIST])</f>
        <v>ASSET</v>
      </c>
      <c r="J37" s="202">
        <f>IFERROR(SUMIF(TM_Externes[ID du service],Cartographie_des_TM_externes[[#This Row],[ID du service]],TM_Externes[Émissions totales (kgCO2e)])*Cartographie_des_TM_externes[[#This Row],[% de l''application contribuant 
à ce contrôle NIST]],0)</f>
        <v>2445.0900163793999</v>
      </c>
      <c r="K37" s="202">
        <f>IFERROR(_xlfn.XLOOKUP(Cartographie_des_TM_externes[[#This Row],[ID du service]],TM_Externes[ID du service],TM_Externes[Émissions totales (kgCO2e)])*Cartographie_des_TM_externes[[#This Row],[% de l''application contribuant à ce référentiel interne]],0)</f>
        <v>0</v>
      </c>
    </row>
    <row r="38" spans="1:11" x14ac:dyDescent="0.3">
      <c r="B38" s="176" t="s">
        <v>15</v>
      </c>
      <c r="C38" s="176" t="s">
        <v>152</v>
      </c>
      <c r="D38" s="176"/>
      <c r="E38" s="213"/>
      <c r="F38" s="198">
        <v>0.5</v>
      </c>
      <c r="G38" s="196"/>
      <c r="H38" s="197"/>
      <c r="I38" s="203" t="str">
        <f>_xlfn.XLOOKUP(Cartographie_des_TM_externes[[#This Row],[Contrôle NIST]],Contrôle_de_référence_NIST[Contrôle NIST],Contrôle_de_référence_NIST[Sujet du NIST])</f>
        <v>ASSET</v>
      </c>
      <c r="J38" s="202">
        <f>IFERROR(SUMIF(TM_Externes[ID du service],Cartographie_des_TM_externes[[#This Row],[ID du service]],TM_Externes[Émissions totales (kgCO2e)])*Cartographie_des_TM_externes[[#This Row],[% de l''application contribuant 
à ce contrôle NIST]],0)</f>
        <v>4890.1800327587998</v>
      </c>
      <c r="K38" s="202">
        <f>IFERROR(_xlfn.XLOOKUP(Cartographie_des_TM_externes[[#This Row],[ID du service]],TM_Externes[ID du service],TM_Externes[Émissions totales (kgCO2e)])*Cartographie_des_TM_externes[[#This Row],[% de l''application contribuant à ce référentiel interne]],0)</f>
        <v>0</v>
      </c>
    </row>
    <row r="39" spans="1:11" x14ac:dyDescent="0.3">
      <c r="B39" s="176" t="s">
        <v>57</v>
      </c>
      <c r="C39" s="176" t="s">
        <v>153</v>
      </c>
      <c r="D39" s="176"/>
      <c r="E39" s="213"/>
      <c r="F39" s="198">
        <v>0.5</v>
      </c>
      <c r="G39" s="196"/>
      <c r="H39" s="197"/>
      <c r="I39" s="203" t="str">
        <f>_xlfn.XLOOKUP(Cartographie_des_TM_externes[[#This Row],[Contrôle NIST]],Contrôle_de_référence_NIST[Contrôle NIST],Contrôle_de_référence_NIST[Sujet du NIST])</f>
        <v>NTW</v>
      </c>
      <c r="J39" s="202">
        <f>IFERROR(SUMIF(TM_Externes[ID du service],Cartographie_des_TM_externes[[#This Row],[ID du service]],TM_Externes[Émissions totales (kgCO2e)])*Cartographie_des_TM_externes[[#This Row],[% de l''application contribuant 
à ce contrôle NIST]],0)</f>
        <v>15363.785525341134</v>
      </c>
      <c r="K39" s="202">
        <f>IFERROR(_xlfn.XLOOKUP(Cartographie_des_TM_externes[[#This Row],[ID du service]],TM_Externes[ID du service],TM_Externes[Émissions totales (kgCO2e)])*Cartographie_des_TM_externes[[#This Row],[% de l''application contribuant à ce référentiel interne]],0)</f>
        <v>0</v>
      </c>
    </row>
    <row r="44" spans="1:11" ht="40" x14ac:dyDescent="0.3">
      <c r="A44" s="236" t="s">
        <v>726</v>
      </c>
    </row>
    <row r="45" spans="1:11" ht="42" x14ac:dyDescent="0.3">
      <c r="B45" s="49" t="s">
        <v>298</v>
      </c>
      <c r="C45" s="49" t="s">
        <v>602</v>
      </c>
      <c r="D45" s="49" t="s">
        <v>603</v>
      </c>
      <c r="E45" s="49" t="s">
        <v>647</v>
      </c>
      <c r="F45" s="49" t="s">
        <v>648</v>
      </c>
      <c r="G45" s="49" t="s">
        <v>622</v>
      </c>
      <c r="H45" s="49" t="s">
        <v>637</v>
      </c>
      <c r="I45" s="49" t="s">
        <v>299</v>
      </c>
      <c r="J45" s="49" t="s">
        <v>649</v>
      </c>
      <c r="K45" s="49" t="s">
        <v>650</v>
      </c>
    </row>
    <row r="46" spans="1:11" x14ac:dyDescent="0.3">
      <c r="B46" s="176" t="s">
        <v>83</v>
      </c>
      <c r="C46" s="176" t="s">
        <v>210</v>
      </c>
      <c r="D46" s="176"/>
      <c r="E46" s="213"/>
      <c r="F46" s="195">
        <v>1</v>
      </c>
      <c r="G46" s="196"/>
      <c r="H46" s="197"/>
      <c r="I46" s="203" t="str">
        <f>_xlfn.XLOOKUP(Cartographie_des_externes_prix_fixes[[#This Row],[Contrôle NIST]],Contrôle_de_référence_NIST[Contrôle NIST],Contrôle_de_référence_NIST[Sujet du NIST])</f>
        <v>TP</v>
      </c>
      <c r="J46" s="202">
        <f>IFERROR(SUMIF(Prix_fixes_externes[ID du service],Cartographie_des_externes_prix_fixes[[#This Row],[ID du service]],Prix_fixes_externes[Émissions totales (kgCO2e)])*Cartographie_des_externes_prix_fixes[[#This Row],[% de l''application contribuant 
à ce contrôle NIST]],0)</f>
        <v>30727.571050682269</v>
      </c>
      <c r="K46" s="202">
        <f>IFERROR(_xlfn.XLOOKUP(Cartographie_des_externes_prix_fixes[[#This Row],[ID du service]],Prix_fixes_externes[ID du service],Prix_fixes_externes[Émissions totales (kgCO2e)])*Cartographie_des_externes_prix_fixes[[#This Row],[% de l''application contribuant à ce référentiel interne]],0)</f>
        <v>0</v>
      </c>
    </row>
    <row r="47" spans="1:11" x14ac:dyDescent="0.3">
      <c r="B47" s="176" t="s">
        <v>80</v>
      </c>
      <c r="C47" s="176" t="s">
        <v>211</v>
      </c>
      <c r="D47" s="176"/>
      <c r="E47" s="213"/>
      <c r="F47" s="195">
        <v>1</v>
      </c>
      <c r="G47" s="196"/>
      <c r="H47" s="197"/>
      <c r="I47" s="203" t="str">
        <f>_xlfn.XLOOKUP(Cartographie_des_externes_prix_fixes[[#This Row],[Contrôle NIST]],Contrôle_de_référence_NIST[Contrôle NIST],Contrôle_de_référence_NIST[Sujet du NIST])</f>
        <v>RISK</v>
      </c>
      <c r="J47" s="202">
        <f>IFERROR(SUMIF(Prix_fixes_externes[ID du service],Cartographie_des_externes_prix_fixes[[#This Row],[ID du service]],Prix_fixes_externes[Émissions totales (kgCO2e)])*Cartographie_des_externes_prix_fixes[[#This Row],[% de l''application contribuant 
à ce contrôle NIST]],0)</f>
        <v>319.7088317412028</v>
      </c>
      <c r="K47" s="202">
        <f>IFERROR(_xlfn.XLOOKUP(Cartographie_des_externes_prix_fixes[[#This Row],[ID du service]],Prix_fixes_externes[ID du service],Prix_fixes_externes[Émissions totales (kgCO2e)])*Cartographie_des_externes_prix_fixes[[#This Row],[% de l''application contribuant à ce référentiel interne]],0)</f>
        <v>0</v>
      </c>
    </row>
    <row r="48" spans="1:11" x14ac:dyDescent="0.3">
      <c r="B48" s="176" t="s">
        <v>15</v>
      </c>
      <c r="C48" s="176" t="s">
        <v>212</v>
      </c>
      <c r="D48" s="176"/>
      <c r="E48" s="213"/>
      <c r="F48" s="195">
        <v>1</v>
      </c>
      <c r="G48" s="196"/>
      <c r="H48" s="197"/>
      <c r="I48" s="203" t="str">
        <f>_xlfn.XLOOKUP(Cartographie_des_externes_prix_fixes[[#This Row],[Contrôle NIST]],Contrôle_de_référence_NIST[Contrôle NIST],Contrôle_de_référence_NIST[Sujet du NIST])</f>
        <v>ASSET</v>
      </c>
      <c r="J48" s="202">
        <f>IFERROR(SUMIF(Prix_fixes_externes[ID du service],Cartographie_des_externes_prix_fixes[[#This Row],[ID du service]],Prix_fixes_externes[Émissions totales (kgCO2e)])*Cartographie_des_externes_prix_fixes[[#This Row],[% de l''application contribuant 
à ce contrôle NIST]],0)</f>
        <v>35.523203526800309</v>
      </c>
      <c r="K48" s="202">
        <f>IFERROR(_xlfn.XLOOKUP(Cartographie_des_externes_prix_fixes[[#This Row],[ID du service]],Prix_fixes_externes[ID du service],Prix_fixes_externes[Émissions totales (kgCO2e)])*Cartographie_des_externes_prix_fixes[[#This Row],[% de l''application contribuant à ce référentiel interne]],0)</f>
        <v>0</v>
      </c>
    </row>
    <row r="49" spans="2:11" x14ac:dyDescent="0.3">
      <c r="B49" s="176" t="s">
        <v>15</v>
      </c>
      <c r="C49" s="176" t="s">
        <v>213</v>
      </c>
      <c r="D49" s="176"/>
      <c r="E49" s="213"/>
      <c r="F49" s="195">
        <v>1</v>
      </c>
      <c r="G49" s="196"/>
      <c r="H49" s="197"/>
      <c r="I49" s="203" t="str">
        <f>_xlfn.XLOOKUP(Cartographie_des_externes_prix_fixes[[#This Row],[Contrôle NIST]],Contrôle_de_référence_NIST[Contrôle NIST],Contrôle_de_référence_NIST[Sujet du NIST])</f>
        <v>ASSET</v>
      </c>
      <c r="J49" s="202">
        <f>IFERROR(SUMIF(Prix_fixes_externes[ID du service],Cartographie_des_externes_prix_fixes[[#This Row],[ID du service]],Prix_fixes_externes[Émissions totales (kgCO2e)])*Cartographie_des_externes_prix_fixes[[#This Row],[% de l''application contribuant 
à ce contrôle NIST]],0)</f>
        <v>71.046407053600618</v>
      </c>
      <c r="K49" s="202">
        <f>IFERROR(_xlfn.XLOOKUP(Cartographie_des_externes_prix_fixes[[#This Row],[ID du service]],Prix_fixes_externes[ID du service],Prix_fixes_externes[Émissions totales (kgCO2e)])*Cartographie_des_externes_prix_fixes[[#This Row],[% de l''application contribuant à ce référentiel interne]],0)</f>
        <v>0</v>
      </c>
    </row>
    <row r="50" spans="2:11" x14ac:dyDescent="0.3">
      <c r="B50" s="176" t="s">
        <v>57</v>
      </c>
      <c r="C50" s="176" t="s">
        <v>214</v>
      </c>
      <c r="D50" s="176"/>
      <c r="E50" s="213"/>
      <c r="F50" s="199">
        <v>1</v>
      </c>
      <c r="G50" s="196"/>
      <c r="H50" s="197"/>
      <c r="I50" s="203" t="str">
        <f>_xlfn.XLOOKUP(Cartographie_des_externes_prix_fixes[[#This Row],[Contrôle NIST]],Contrôle_de_référence_NIST[Contrôle NIST],Contrôle_de_référence_NIST[Sujet du NIST])</f>
        <v>NTW</v>
      </c>
      <c r="J50" s="202">
        <f>IFERROR(SUMIF(Prix_fixes_externes[ID du service],Cartographie_des_externes_prix_fixes[[#This Row],[ID du service]],Prix_fixes_externes[Émissions totales (kgCO2e)])*Cartographie_des_externes_prix_fixes[[#This Row],[% de l''application contribuant 
à ce contrôle NIST]],0)</f>
        <v>106.56961058040093</v>
      </c>
      <c r="K50" s="202">
        <f>IFERROR(_xlfn.XLOOKUP(Cartographie_des_externes_prix_fixes[[#This Row],[ID du service]],Prix_fixes_externes[ID du service],Prix_fixes_externes[Émissions totales (kgCO2e)])*Cartographie_des_externes_prix_fixes[[#This Row],[% de l''application contribuant à ce référentiel interne]],0)</f>
        <v>0</v>
      </c>
    </row>
  </sheetData>
  <phoneticPr fontId="12" type="noConversion"/>
  <pageMargins left="0.7" right="0.7" top="0.75" bottom="0.75" header="0.3" footer="0.3"/>
  <tableParts count="3">
    <tablePart r:id="rId1"/>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D35C6-A795-4AB3-9874-ED2A545099AF}">
  <sheetPr>
    <tabColor theme="5" tint="0.79998168889431442"/>
  </sheetPr>
  <dimension ref="A2:F36"/>
  <sheetViews>
    <sheetView showGridLines="0" zoomScale="83" zoomScaleNormal="70" workbookViewId="0">
      <selection activeCell="B7" sqref="B7"/>
    </sheetView>
  </sheetViews>
  <sheetFormatPr baseColWidth="10" defaultColWidth="11.4140625" defaultRowHeight="14" x14ac:dyDescent="0.3"/>
  <cols>
    <col min="1" max="1" width="56.08203125" customWidth="1"/>
    <col min="2" max="2" width="34.5" customWidth="1"/>
    <col min="3" max="3" width="26.75" customWidth="1"/>
    <col min="4" max="4" width="18.1640625" customWidth="1"/>
    <col min="5" max="5" width="20.4140625" customWidth="1"/>
    <col min="6" max="6" width="20.5" customWidth="1"/>
    <col min="7" max="7" width="25.9140625" customWidth="1"/>
    <col min="8" max="8" width="15.4140625" customWidth="1"/>
  </cols>
  <sheetData>
    <row r="2" spans="1:3" ht="15.5" x14ac:dyDescent="0.35">
      <c r="A2" s="127" t="s">
        <v>215</v>
      </c>
    </row>
    <row r="3" spans="1:3" ht="15.5" x14ac:dyDescent="0.35">
      <c r="B3" s="113" t="s">
        <v>216</v>
      </c>
    </row>
    <row r="4" spans="1:3" ht="42" x14ac:dyDescent="0.3">
      <c r="B4" s="140" t="s">
        <v>221</v>
      </c>
    </row>
    <row r="5" spans="1:3" ht="56" x14ac:dyDescent="0.3">
      <c r="B5" s="137" t="s">
        <v>220</v>
      </c>
    </row>
    <row r="6" spans="1:3" ht="42" x14ac:dyDescent="0.3">
      <c r="B6" s="141" t="s">
        <v>222</v>
      </c>
    </row>
    <row r="7" spans="1:3" ht="42" x14ac:dyDescent="0.3">
      <c r="B7" s="142" t="s">
        <v>224</v>
      </c>
    </row>
    <row r="8" spans="1:3" x14ac:dyDescent="0.3">
      <c r="B8" s="223" t="s">
        <v>225</v>
      </c>
    </row>
    <row r="10" spans="1:3" ht="15.5" x14ac:dyDescent="0.35">
      <c r="A10" s="230" t="s">
        <v>620</v>
      </c>
    </row>
    <row r="11" spans="1:3" ht="28" x14ac:dyDescent="0.3">
      <c r="B11" s="105" t="s">
        <v>651</v>
      </c>
      <c r="C11" s="109">
        <f>SUM(Cartographie_des_résultats_de_voyage_par_sujet[Total des voyages (kgCO2e)])/1000</f>
        <v>668.23728599999993</v>
      </c>
    </row>
    <row r="12" spans="1:3" ht="28" x14ac:dyDescent="0.3">
      <c r="B12" s="107" t="str">
        <f>"Champ d'application 2 "&amp;B11</f>
        <v>Champ d'application 2 Émissions liées aux déplacements (tCO2e)</v>
      </c>
      <c r="C12" s="109">
        <v>0</v>
      </c>
    </row>
    <row r="13" spans="1:3" ht="28" x14ac:dyDescent="0.3">
      <c r="B13" s="107" t="str">
        <f>"Champ d'application 3 "&amp;B11</f>
        <v>Champ d'application 3 Émissions liées aux déplacements (tCO2e)</v>
      </c>
      <c r="C13" s="109">
        <f>SUM(Cartographie_voyage[Émissions totales (kgC02e)])/1000</f>
        <v>668.23728599999993</v>
      </c>
    </row>
    <row r="15" spans="1:3" x14ac:dyDescent="0.3">
      <c r="B15" s="89" t="s">
        <v>417</v>
      </c>
      <c r="C15" s="89" t="s">
        <v>652</v>
      </c>
    </row>
    <row r="16" spans="1:3" x14ac:dyDescent="0.3">
      <c r="B16" s="88" t="s">
        <v>0</v>
      </c>
      <c r="C16" s="193">
        <f>SUMIF(Cartographie_voyage[Sujet du NIST],Cartographie_des_résultats_de_voyage_par_sujet[[#This Row],[Sujet]],Cartographie_voyage[Émissions totales (kgC02e)])</f>
        <v>0</v>
      </c>
    </row>
    <row r="17" spans="1:3" x14ac:dyDescent="0.3">
      <c r="B17" s="88" t="s">
        <v>1</v>
      </c>
      <c r="C17" s="193">
        <f>SUMIF(Cartographie_voyage[Sujet du NIST],Cartographie_des_résultats_de_voyage_par_sujet[[#This Row],[Sujet]],Cartographie_voyage[Émissions totales (kgC02e)])</f>
        <v>0</v>
      </c>
    </row>
    <row r="18" spans="1:3" x14ac:dyDescent="0.3">
      <c r="B18" s="88" t="s">
        <v>2</v>
      </c>
      <c r="C18" s="193">
        <f>SUMIF(Cartographie_voyage[Sujet du NIST],Cartographie_des_résultats_de_voyage_par_sujet[[#This Row],[Sujet]],Cartographie_voyage[Émissions totales (kgC02e)])</f>
        <v>0</v>
      </c>
    </row>
    <row r="19" spans="1:3" x14ac:dyDescent="0.3">
      <c r="B19" s="88" t="s">
        <v>3</v>
      </c>
      <c r="C19" s="193">
        <f>SUMIF(Cartographie_voyage[Sujet du NIST],Cartographie_des_résultats_de_voyage_par_sujet[[#This Row],[Sujet]],Cartographie_voyage[Émissions totales (kgC02e)])</f>
        <v>0</v>
      </c>
    </row>
    <row r="20" spans="1:3" x14ac:dyDescent="0.3">
      <c r="B20" s="88" t="s">
        <v>4</v>
      </c>
      <c r="C20" s="193">
        <f>SUMIF(Cartographie_voyage[Sujet du NIST],Cartographie_des_résultats_de_voyage_par_sujet[[#This Row],[Sujet]],Cartographie_voyage[Émissions totales (kgC02e)])</f>
        <v>0</v>
      </c>
    </row>
    <row r="21" spans="1:3" x14ac:dyDescent="0.3">
      <c r="B21" s="88" t="s">
        <v>5</v>
      </c>
      <c r="C21" s="193">
        <f>SUMIF(Cartographie_voyage[Sujet du NIST],Cartographie_des_résultats_de_voyage_par_sujet[[#This Row],[Sujet]],Cartographie_voyage[Émissions totales (kgC02e)])</f>
        <v>0</v>
      </c>
    </row>
    <row r="22" spans="1:3" x14ac:dyDescent="0.3">
      <c r="B22" s="88" t="s">
        <v>6</v>
      </c>
      <c r="C22" s="193">
        <f>SUMIF(Cartographie_voyage[Sujet du NIST],Cartographie_des_résultats_de_voyage_par_sujet[[#This Row],[Sujet]],Cartographie_voyage[Émissions totales (kgC02e)])</f>
        <v>668237.28599999996</v>
      </c>
    </row>
    <row r="23" spans="1:3" x14ac:dyDescent="0.3">
      <c r="B23" s="88" t="s">
        <v>7</v>
      </c>
      <c r="C23" s="193">
        <f>SUMIF(Cartographie_voyage[Sujet du NIST],Cartographie_des_résultats_de_voyage_par_sujet[[#This Row],[Sujet]],Cartographie_voyage[Émissions totales (kgC02e)])</f>
        <v>0</v>
      </c>
    </row>
    <row r="24" spans="1:3" x14ac:dyDescent="0.3">
      <c r="B24" s="88" t="s">
        <v>8</v>
      </c>
      <c r="C24" s="193">
        <f>SUMIF(Cartographie_voyage[Sujet du NIST],Cartographie_des_résultats_de_voyage_par_sujet[[#This Row],[Sujet]],Cartographie_voyage[Émissions totales (kgC02e)])</f>
        <v>0</v>
      </c>
    </row>
    <row r="25" spans="1:3" x14ac:dyDescent="0.3">
      <c r="B25" s="88" t="s">
        <v>9</v>
      </c>
      <c r="C25" s="193">
        <f>SUMIF(Cartographie_voyage[Sujet du NIST],Cartographie_des_résultats_de_voyage_par_sujet[[#This Row],[Sujet]],Cartographie_voyage[Émissions totales (kgC02e)])</f>
        <v>0</v>
      </c>
    </row>
    <row r="26" spans="1:3" x14ac:dyDescent="0.3">
      <c r="B26" s="88" t="s">
        <v>10</v>
      </c>
      <c r="C26" s="193">
        <f>SUMIF(Cartographie_voyage[Sujet du NIST],Cartographie_des_résultats_de_voyage_par_sujet[[#This Row],[Sujet]],Cartographie_voyage[Émissions totales (kgC02e)])</f>
        <v>0</v>
      </c>
    </row>
    <row r="27" spans="1:3" x14ac:dyDescent="0.3">
      <c r="B27" s="88" t="s">
        <v>11</v>
      </c>
      <c r="C27" s="193">
        <f>SUMIF(Cartographie_voyage[Sujet du NIST],Cartographie_des_résultats_de_voyage_par_sujet[[#This Row],[Sujet]],Cartographie_voyage[Émissions totales (kgC02e)])</f>
        <v>0</v>
      </c>
    </row>
    <row r="28" spans="1:3" x14ac:dyDescent="0.3">
      <c r="B28" s="88" t="s">
        <v>12</v>
      </c>
      <c r="C28" s="193">
        <f>SUMIF(Cartographie_voyage[Sujet du NIST],Cartographie_des_résultats_de_voyage_par_sujet[[#This Row],[Sujet]],Cartographie_voyage[Émissions totales (kgC02e)])</f>
        <v>0</v>
      </c>
    </row>
    <row r="29" spans="1:3" x14ac:dyDescent="0.3">
      <c r="B29" s="88" t="s">
        <v>13</v>
      </c>
      <c r="C29" s="193">
        <f>SUMIF(Cartographie_voyage[Sujet du NIST],Cartographie_des_résultats_de_voyage_par_sujet[[#This Row],[Sujet]],Cartographie_voyage[Émissions totales (kgC02e)])</f>
        <v>0</v>
      </c>
    </row>
    <row r="30" spans="1:3" x14ac:dyDescent="0.3">
      <c r="B30" s="99" t="s">
        <v>147</v>
      </c>
      <c r="C30" s="204">
        <f>SUBTOTAL(109,Cartographie_des_résultats_de_voyage_par_sujet[Total des voyages (kgCO2e)])</f>
        <v>668237.28599999996</v>
      </c>
    </row>
    <row r="31" spans="1:3" x14ac:dyDescent="0.3">
      <c r="C31" s="205"/>
    </row>
    <row r="32" spans="1:3" ht="62" customHeight="1" x14ac:dyDescent="0.3">
      <c r="A32" s="236" t="s">
        <v>708</v>
      </c>
    </row>
    <row r="33" spans="2:6" ht="28" x14ac:dyDescent="0.3">
      <c r="B33" s="47" t="s">
        <v>609</v>
      </c>
      <c r="C33" s="74" t="s">
        <v>622</v>
      </c>
      <c r="D33" s="74" t="s">
        <v>298</v>
      </c>
      <c r="E33" s="74" t="s">
        <v>299</v>
      </c>
      <c r="F33" s="83" t="s">
        <v>569</v>
      </c>
    </row>
    <row r="34" spans="2:6" x14ac:dyDescent="0.3">
      <c r="B34" s="122" t="s">
        <v>442</v>
      </c>
      <c r="C34" s="206"/>
      <c r="D34" s="207" t="s">
        <v>47</v>
      </c>
      <c r="E34" s="208" t="str">
        <f>_xlfn.XLOOKUP(Cartographie_voyage[[#This Row],[Contrôle NIST]],Contrôle_de_référence_NIST[Contrôle NIST],Contrôle_de_référence_NIST[Sujet du NIST])</f>
        <v>GOV</v>
      </c>
      <c r="F34" s="209">
        <f>SUMIF(Voyage[Type de transport],Cartographie_voyage[[#This Row],[Type de transport]],Voyage[Émissions totales (kgC02e)])</f>
        <v>531363.12600000005</v>
      </c>
    </row>
    <row r="35" spans="2:6" x14ac:dyDescent="0.3">
      <c r="B35" s="91" t="s">
        <v>443</v>
      </c>
      <c r="C35" s="206"/>
      <c r="D35" s="207" t="s">
        <v>47</v>
      </c>
      <c r="E35" s="208" t="str">
        <f>_xlfn.XLOOKUP(Cartographie_voyage[[#This Row],[Contrôle NIST]],Contrôle_de_référence_NIST[Contrôle NIST],Contrôle_de_référence_NIST[Sujet du NIST])</f>
        <v>GOV</v>
      </c>
      <c r="F35" s="209">
        <f>SUMIF(Voyage[Type de transport],Cartographie_voyage[[#This Row],[Type de transport]],Voyage[Émissions totales (kgC02e)])</f>
        <v>38830.548000000003</v>
      </c>
    </row>
    <row r="36" spans="2:6" x14ac:dyDescent="0.3">
      <c r="B36" s="91" t="s">
        <v>146</v>
      </c>
      <c r="C36" s="206"/>
      <c r="D36" s="207" t="s">
        <v>47</v>
      </c>
      <c r="E36" s="208" t="str">
        <f>_xlfn.XLOOKUP(Cartographie_voyage[[#This Row],[Contrôle NIST]],Contrôle_de_référence_NIST[Contrôle NIST],Contrôle_de_référence_NIST[Sujet du NIST])</f>
        <v>GOV</v>
      </c>
      <c r="F36" s="209">
        <f>SUMIF(Voyage[Type de transport],Cartographie_voyage[[#This Row],[Type de transport]],Voyage[Émissions totales (kgC02e)])</f>
        <v>98043.612000000008</v>
      </c>
    </row>
  </sheetData>
  <pageMargins left="0.7" right="0.7" top="0.75" bottom="0.75" header="0.3" footer="0.3"/>
  <tableParts count="2">
    <tablePart r:id="rId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D36F4-49CD-4195-8FE2-3356C57685C9}">
  <sheetPr>
    <tabColor theme="5" tint="0.79998168889431442"/>
  </sheetPr>
  <dimension ref="A2:K62"/>
  <sheetViews>
    <sheetView showGridLines="0" zoomScale="72" zoomScaleNormal="40" workbookViewId="0">
      <selection activeCell="B2" sqref="B2"/>
    </sheetView>
  </sheetViews>
  <sheetFormatPr baseColWidth="10" defaultColWidth="8.75" defaultRowHeight="14" outlineLevelRow="1" x14ac:dyDescent="0.3"/>
  <cols>
    <col min="1" max="1" width="57.58203125" style="23" customWidth="1"/>
    <col min="2" max="2" width="94.1640625" style="23" customWidth="1"/>
    <col min="3" max="3" width="34.9140625" style="23" customWidth="1"/>
    <col min="4" max="4" width="27.1640625" style="23" customWidth="1"/>
    <col min="5" max="5" width="40.9140625" style="23" customWidth="1"/>
    <col min="6" max="6" width="22.4140625" style="23" customWidth="1"/>
    <col min="7" max="7" width="26.4140625" style="23" customWidth="1"/>
    <col min="8" max="8" width="25.9140625" style="23" customWidth="1"/>
    <col min="9" max="9" width="26.5" style="23" customWidth="1"/>
    <col min="10" max="16384" width="8.75" style="23"/>
  </cols>
  <sheetData>
    <row r="2" spans="1:7" ht="15.5" x14ac:dyDescent="0.35">
      <c r="A2" s="127" t="s">
        <v>215</v>
      </c>
      <c r="B2"/>
    </row>
    <row r="3" spans="1:7" ht="15.5" x14ac:dyDescent="0.35">
      <c r="A3"/>
      <c r="B3" s="113" t="s">
        <v>216</v>
      </c>
    </row>
    <row r="4" spans="1:7" ht="28" x14ac:dyDescent="0.3">
      <c r="A4"/>
      <c r="B4" s="147" t="s">
        <v>227</v>
      </c>
    </row>
    <row r="5" spans="1:7" ht="28" x14ac:dyDescent="0.3">
      <c r="A5"/>
      <c r="B5" s="225" t="s">
        <v>228</v>
      </c>
    </row>
    <row r="6" spans="1:7" ht="28" x14ac:dyDescent="0.3">
      <c r="A6"/>
      <c r="B6" s="228" t="s">
        <v>229</v>
      </c>
    </row>
    <row r="7" spans="1:7" ht="28" x14ac:dyDescent="0.3">
      <c r="A7"/>
      <c r="B7" s="229" t="s">
        <v>230</v>
      </c>
    </row>
    <row r="8" spans="1:7" x14ac:dyDescent="0.3">
      <c r="B8" s="119" t="s">
        <v>225</v>
      </c>
    </row>
    <row r="10" spans="1:7" ht="15.5" x14ac:dyDescent="0.35">
      <c r="A10" s="230" t="s">
        <v>620</v>
      </c>
    </row>
    <row r="11" spans="1:7" x14ac:dyDescent="0.3">
      <c r="B11" s="105" t="s">
        <v>727</v>
      </c>
      <c r="C11" s="106">
        <f>SUM(Cartographie_des_résultats_non_cyber_par_sujet[Total des émissions de logs et d''antivirus pour les équipements non Cyber (kgCO2e)])/1000</f>
        <v>33.076888075333336</v>
      </c>
    </row>
    <row r="12" spans="1:7" x14ac:dyDescent="0.3">
      <c r="B12" s="107" t="str">
        <f>"Champ d'application 2 "&amp;B11</f>
        <v>Champ d'application 2 Émissions des équipements non Cyber (tCO2e)</v>
      </c>
      <c r="C12" s="106">
        <f>SUM(Cartographie_poste_de_travail_non_cyber_ordinateur_portable[Champ d''application 2 (kgC02e)],Cartographie_poste_de_travail_non_cyber_ordinateur_de_bureau[Champ d''application 2 (kgC02e)],Cartographie_non_cyber_VDI[Champ d''application 2 (kgC02e)],Cartographie_non_cyber_serveurs[Champ d''application 2 (kgC02e)])/1000</f>
        <v>16.915796818000004</v>
      </c>
    </row>
    <row r="13" spans="1:7" x14ac:dyDescent="0.3">
      <c r="B13" s="107" t="str">
        <f>"Champ d'application 3 "&amp;B11</f>
        <v>Champ d'application 3 Émissions des équipements non Cyber (tCO2e)</v>
      </c>
      <c r="C13" s="106">
        <f>SUM(Cartographie_poste_de_travail_non_cyber_ordinateur_portable[Champ d''application 3 (kgC02e)],Cartographie_poste_de_travail_non_cyber_ordinateur_de_bureau[Champ d''application 3 (kgC02e)],Cartographie_non_cyber_serveurs[Champ d''application 3 (kgC02e)],Cartographie_non_cyber_VDI[Champ d''application 3 (kgC02e)])/1000</f>
        <v>16.161091257333332</v>
      </c>
    </row>
    <row r="15" spans="1:7" ht="42" outlineLevel="1" x14ac:dyDescent="0.3">
      <c r="B15" s="74" t="s">
        <v>298</v>
      </c>
      <c r="C15" s="74" t="s">
        <v>729</v>
      </c>
      <c r="D15" s="74" t="s">
        <v>561</v>
      </c>
      <c r="E15" s="74" t="s">
        <v>722</v>
      </c>
      <c r="F15" s="74" t="s">
        <v>154</v>
      </c>
      <c r="G15" s="74" t="s">
        <v>728</v>
      </c>
    </row>
    <row r="16" spans="1:7" outlineLevel="1" x14ac:dyDescent="0.3">
      <c r="B16" t="s">
        <v>0</v>
      </c>
      <c r="C16" s="94">
        <f>SUM(Cartographie_des_résultats_non_cyber_par_sujet[[#This Row],[Poste de travail - Ordinateur portable]:[Serveurs non Cyber]])</f>
        <v>0</v>
      </c>
      <c r="D16" s="94">
        <f>SUMIF(Cartographie_poste_de_travail_non_cyber_ordinateur_portable[Sujet du NIST],Cartographie_des_résultats_non_cyber_par_sujet[[#This Row],[Contrôle NIST]],Cartographie_poste_de_travail_non_cyber_ordinateur_portable[Émissions totales (kgC02e)])</f>
        <v>0</v>
      </c>
      <c r="E16" s="94">
        <f>SUMIF(Cartographie_poste_de_travail_non_cyber_ordinateur_de_bureau[Sujet du NIST],Cartographie_des_résultats_non_cyber_par_sujet[[#This Row],[Contrôle NIST]],Cartographie_poste_de_travail_non_cyber_ordinateur_de_bureau[Émissions totales (kgC02e)])</f>
        <v>0</v>
      </c>
      <c r="F16" s="94">
        <f>SUMIF(Cartographie_non_cyber_VDI[Sujet du NIST],Cartographie_des_résultats_non_cyber_par_sujet[[#This Row],[Contrôle NIST]],Cartographie_non_cyber_VDI[Émissions totales (kgC02e)])</f>
        <v>0</v>
      </c>
      <c r="G16" s="94">
        <f>SUMIF(Cartographie_non_cyber_serveurs[Sujet du NIST],Cartographie_des_résultats_non_cyber_par_sujet[[#This Row],[Contrôle NIST]],Cartographie_non_cyber_serveurs[Émissions totales (kgC02e)])</f>
        <v>0</v>
      </c>
    </row>
    <row r="17" spans="1:7" outlineLevel="1" x14ac:dyDescent="0.3">
      <c r="B17" t="s">
        <v>1</v>
      </c>
      <c r="C17" s="94">
        <f>SUM(Cartographie_des_résultats_non_cyber_par_sujet[[#This Row],[Poste de travail - Ordinateur portable]:[Serveurs non Cyber]])</f>
        <v>0</v>
      </c>
      <c r="D17" s="94">
        <f>SUMIF(Cartographie_poste_de_travail_non_cyber_ordinateur_portable[Sujet du NIST],Cartographie_des_résultats_non_cyber_par_sujet[[#This Row],[Contrôle NIST]],Cartographie_poste_de_travail_non_cyber_ordinateur_portable[Émissions totales (kgC02e)])</f>
        <v>0</v>
      </c>
      <c r="E17" s="94">
        <f>SUMIF(Cartographie_poste_de_travail_non_cyber_ordinateur_de_bureau[Sujet du NIST],Cartographie_des_résultats_non_cyber_par_sujet[[#This Row],[Contrôle NIST]],Cartographie_poste_de_travail_non_cyber_ordinateur_de_bureau[Émissions totales (kgC02e)])</f>
        <v>0</v>
      </c>
      <c r="F17" s="94">
        <f>SUMIF(Cartographie_non_cyber_VDI[Sujet du NIST],Cartographie_des_résultats_non_cyber_par_sujet[[#This Row],[Contrôle NIST]],Cartographie_non_cyber_VDI[Émissions totales (kgC02e)])</f>
        <v>0</v>
      </c>
      <c r="G17" s="94">
        <f>SUMIF(Cartographie_non_cyber_serveurs[Sujet du NIST],Cartographie_des_résultats_non_cyber_par_sujet[[#This Row],[Contrôle NIST]],Cartographie_non_cyber_serveurs[Émissions totales (kgC02e)])</f>
        <v>0</v>
      </c>
    </row>
    <row r="18" spans="1:7" outlineLevel="1" x14ac:dyDescent="0.3">
      <c r="B18" t="s">
        <v>2</v>
      </c>
      <c r="C18" s="94">
        <f>SUM(Cartographie_des_résultats_non_cyber_par_sujet[[#This Row],[Poste de travail - Ordinateur portable]:[Serveurs non Cyber]])</f>
        <v>0</v>
      </c>
      <c r="D18" s="94">
        <f>SUMIF(Cartographie_poste_de_travail_non_cyber_ordinateur_portable[Sujet du NIST],Cartographie_des_résultats_non_cyber_par_sujet[[#This Row],[Contrôle NIST]],Cartographie_poste_de_travail_non_cyber_ordinateur_portable[Émissions totales (kgC02e)])</f>
        <v>0</v>
      </c>
      <c r="E18" s="94">
        <f>SUMIF(Cartographie_poste_de_travail_non_cyber_ordinateur_de_bureau[Sujet du NIST],Cartographie_des_résultats_non_cyber_par_sujet[[#This Row],[Contrôle NIST]],Cartographie_poste_de_travail_non_cyber_ordinateur_de_bureau[Émissions totales (kgC02e)])</f>
        <v>0</v>
      </c>
      <c r="F18" s="94">
        <f>SUMIF(Cartographie_non_cyber_VDI[Sujet du NIST],Cartographie_des_résultats_non_cyber_par_sujet[[#This Row],[Contrôle NIST]],Cartographie_non_cyber_VDI[Émissions totales (kgC02e)])</f>
        <v>0</v>
      </c>
      <c r="G18" s="94">
        <f>SUMIF(Cartographie_non_cyber_serveurs[Sujet du NIST],Cartographie_des_résultats_non_cyber_par_sujet[[#This Row],[Contrôle NIST]],Cartographie_non_cyber_serveurs[Émissions totales (kgC02e)])</f>
        <v>0</v>
      </c>
    </row>
    <row r="19" spans="1:7" outlineLevel="1" x14ac:dyDescent="0.3">
      <c r="B19" t="s">
        <v>3</v>
      </c>
      <c r="C19" s="94">
        <f>SUM(Cartographie_des_résultats_non_cyber_par_sujet[[#This Row],[Poste de travail - Ordinateur portable]:[Serveurs non Cyber]])</f>
        <v>0</v>
      </c>
      <c r="D19" s="94">
        <f>SUMIF(Cartographie_poste_de_travail_non_cyber_ordinateur_portable[Sujet du NIST],Cartographie_des_résultats_non_cyber_par_sujet[[#This Row],[Contrôle NIST]],Cartographie_poste_de_travail_non_cyber_ordinateur_portable[Émissions totales (kgC02e)])</f>
        <v>0</v>
      </c>
      <c r="E19" s="94">
        <f>SUMIF(Cartographie_poste_de_travail_non_cyber_ordinateur_de_bureau[Sujet du NIST],Cartographie_des_résultats_non_cyber_par_sujet[[#This Row],[Contrôle NIST]],Cartographie_poste_de_travail_non_cyber_ordinateur_de_bureau[Émissions totales (kgC02e)])</f>
        <v>0</v>
      </c>
      <c r="F19" s="94">
        <f>SUMIF(Cartographie_non_cyber_VDI[Sujet du NIST],Cartographie_des_résultats_non_cyber_par_sujet[[#This Row],[Contrôle NIST]],Cartographie_non_cyber_VDI[Émissions totales (kgC02e)])</f>
        <v>0</v>
      </c>
      <c r="G19" s="94">
        <f>SUMIF(Cartographie_non_cyber_serveurs[Sujet du NIST],Cartographie_des_résultats_non_cyber_par_sujet[[#This Row],[Contrôle NIST]],Cartographie_non_cyber_serveurs[Émissions totales (kgC02e)])</f>
        <v>0</v>
      </c>
    </row>
    <row r="20" spans="1:7" outlineLevel="1" x14ac:dyDescent="0.3">
      <c r="B20" t="s">
        <v>4</v>
      </c>
      <c r="C20" s="94">
        <f>SUM(Cartographie_des_résultats_non_cyber_par_sujet[[#This Row],[Poste de travail - Ordinateur portable]:[Serveurs non Cyber]])</f>
        <v>8116.639039083333</v>
      </c>
      <c r="D20" s="94">
        <f>SUMIF(Cartographie_poste_de_travail_non_cyber_ordinateur_portable[Sujet du NIST],Cartographie_des_résultats_non_cyber_par_sujet[[#This Row],[Contrôle NIST]],Cartographie_poste_de_travail_non_cyber_ordinateur_portable[Émissions totales (kgC02e)])</f>
        <v>2223.8948816000002</v>
      </c>
      <c r="E20" s="94">
        <f>SUMIF(Cartographie_poste_de_travail_non_cyber_ordinateur_de_bureau[Sujet du NIST],Cartographie_des_résultats_non_cyber_par_sujet[[#This Row],[Contrôle NIST]],Cartographie_poste_de_travail_non_cyber_ordinateur_de_bureau[Émissions totales (kgC02e)])</f>
        <v>5219.101232</v>
      </c>
      <c r="F20" s="94">
        <f>SUMIF(Cartographie_non_cyber_VDI[Sujet du NIST],Cartographie_des_résultats_non_cyber_par_sujet[[#This Row],[Contrôle NIST]],Cartographie_non_cyber_VDI[Émissions totales (kgC02e)])</f>
        <v>0</v>
      </c>
      <c r="G20" s="94">
        <f>SUMIF(Cartographie_non_cyber_serveurs[Sujet du NIST],Cartographie_des_résultats_non_cyber_par_sujet[[#This Row],[Contrôle NIST]],Cartographie_non_cyber_serveurs[Émissions totales (kgC02e)])</f>
        <v>673.64292548333333</v>
      </c>
    </row>
    <row r="21" spans="1:7" outlineLevel="1" x14ac:dyDescent="0.3">
      <c r="B21" t="s">
        <v>5</v>
      </c>
      <c r="C21" s="94">
        <f>SUM(Cartographie_des_résultats_non_cyber_par_sujet[[#This Row],[Poste de travail - Ordinateur portable]:[Serveurs non Cyber]])</f>
        <v>610.33191900000008</v>
      </c>
      <c r="D21" s="94">
        <f>SUMIF(Cartographie_poste_de_travail_non_cyber_ordinateur_portable[Sujet du NIST],Cartographie_des_résultats_non_cyber_par_sujet[[#This Row],[Contrôle NIST]],Cartographie_poste_de_travail_non_cyber_ordinateur_portable[Émissions totales (kgC02e)])</f>
        <v>47.928769000000003</v>
      </c>
      <c r="E21" s="94">
        <f>SUMIF(Cartographie_poste_de_travail_non_cyber_ordinateur_de_bureau[Sujet du NIST],Cartographie_des_résultats_non_cyber_par_sujet[[#This Row],[Contrôle NIST]],Cartographie_poste_de_travail_non_cyber_ordinateur_de_bureau[Émissions totales (kgC02e)])</f>
        <v>562.4031500000001</v>
      </c>
      <c r="F21" s="94">
        <f>SUMIF(Cartographie_non_cyber_VDI[Sujet du NIST],Cartographie_des_résultats_non_cyber_par_sujet[[#This Row],[Contrôle NIST]],Cartographie_non_cyber_VDI[Émissions totales (kgC02e)])</f>
        <v>0</v>
      </c>
      <c r="G21" s="94">
        <f>SUMIF(Cartographie_non_cyber_serveurs[Sujet du NIST],Cartographie_des_résultats_non_cyber_par_sujet[[#This Row],[Contrôle NIST]],Cartographie_non_cyber_serveurs[Émissions totales (kgC02e)])</f>
        <v>0</v>
      </c>
    </row>
    <row r="22" spans="1:7" outlineLevel="1" x14ac:dyDescent="0.3">
      <c r="B22" t="s">
        <v>6</v>
      </c>
      <c r="C22" s="94">
        <f>SUM(Cartographie_des_résultats_non_cyber_par_sujet[[#This Row],[Poste de travail - Ordinateur portable]:[Serveurs non Cyber]])</f>
        <v>0</v>
      </c>
      <c r="D22" s="94">
        <f>SUMIF(Cartographie_poste_de_travail_non_cyber_ordinateur_portable[Sujet du NIST],Cartographie_des_résultats_non_cyber_par_sujet[[#This Row],[Contrôle NIST]],Cartographie_poste_de_travail_non_cyber_ordinateur_portable[Émissions totales (kgC02e)])</f>
        <v>0</v>
      </c>
      <c r="E22" s="94">
        <f>SUMIF(Cartographie_poste_de_travail_non_cyber_ordinateur_de_bureau[Sujet du NIST],Cartographie_des_résultats_non_cyber_par_sujet[[#This Row],[Contrôle NIST]],Cartographie_poste_de_travail_non_cyber_ordinateur_de_bureau[Émissions totales (kgC02e)])</f>
        <v>0</v>
      </c>
      <c r="F22" s="94">
        <f>SUMIF(Cartographie_non_cyber_VDI[Sujet du NIST],Cartographie_des_résultats_non_cyber_par_sujet[[#This Row],[Contrôle NIST]],Cartographie_non_cyber_VDI[Émissions totales (kgC02e)])</f>
        <v>0</v>
      </c>
      <c r="G22" s="94">
        <f>SUMIF(Cartographie_non_cyber_serveurs[Sujet du NIST],Cartographie_des_résultats_non_cyber_par_sujet[[#This Row],[Contrôle NIST]],Cartographie_non_cyber_serveurs[Émissions totales (kgC02e)])</f>
        <v>0</v>
      </c>
    </row>
    <row r="23" spans="1:7" outlineLevel="1" x14ac:dyDescent="0.3">
      <c r="B23" t="s">
        <v>7</v>
      </c>
      <c r="C23" s="94">
        <f>SUM(Cartographie_des_résultats_non_cyber_par_sujet[[#This Row],[Poste de travail - Ordinateur portable]:[Serveurs non Cyber]])</f>
        <v>0</v>
      </c>
      <c r="D23" s="94">
        <f>SUMIF(Cartographie_poste_de_travail_non_cyber_ordinateur_portable[Sujet du NIST],Cartographie_des_résultats_non_cyber_par_sujet[[#This Row],[Contrôle NIST]],Cartographie_poste_de_travail_non_cyber_ordinateur_portable[Émissions totales (kgC02e)])</f>
        <v>0</v>
      </c>
      <c r="E23" s="94">
        <f>SUMIF(Cartographie_poste_de_travail_non_cyber_ordinateur_de_bureau[Sujet du NIST],Cartographie_des_résultats_non_cyber_par_sujet[[#This Row],[Contrôle NIST]],Cartographie_poste_de_travail_non_cyber_ordinateur_de_bureau[Émissions totales (kgC02e)])</f>
        <v>0</v>
      </c>
      <c r="F23" s="94">
        <f>SUMIF(Cartographie_non_cyber_VDI[Sujet du NIST],Cartographie_des_résultats_non_cyber_par_sujet[[#This Row],[Contrôle NIST]],Cartographie_non_cyber_VDI[Émissions totales (kgC02e)])</f>
        <v>0</v>
      </c>
      <c r="G23" s="94">
        <f>SUMIF(Cartographie_non_cyber_serveurs[Sujet du NIST],Cartographie_des_résultats_non_cyber_par_sujet[[#This Row],[Contrôle NIST]],Cartographie_non_cyber_serveurs[Émissions totales (kgC02e)])</f>
        <v>0</v>
      </c>
    </row>
    <row r="24" spans="1:7" outlineLevel="1" x14ac:dyDescent="0.3">
      <c r="B24" t="s">
        <v>8</v>
      </c>
      <c r="C24" s="94">
        <f>SUM(Cartographie_des_résultats_non_cyber_par_sujet[[#This Row],[Poste de travail - Ordinateur portable]:[Serveurs non Cyber]])</f>
        <v>0</v>
      </c>
      <c r="D24" s="94">
        <f>SUMIF(Cartographie_poste_de_travail_non_cyber_ordinateur_portable[Sujet du NIST],Cartographie_des_résultats_non_cyber_par_sujet[[#This Row],[Contrôle NIST]],Cartographie_poste_de_travail_non_cyber_ordinateur_portable[Émissions totales (kgC02e)])</f>
        <v>0</v>
      </c>
      <c r="E24" s="94">
        <f>SUMIF(Cartographie_poste_de_travail_non_cyber_ordinateur_de_bureau[Sujet du NIST],Cartographie_des_résultats_non_cyber_par_sujet[[#This Row],[Contrôle NIST]],Cartographie_poste_de_travail_non_cyber_ordinateur_de_bureau[Émissions totales (kgC02e)])</f>
        <v>0</v>
      </c>
      <c r="F24" s="94">
        <f>SUMIF(Cartographie_non_cyber_VDI[Sujet du NIST],Cartographie_des_résultats_non_cyber_par_sujet[[#This Row],[Contrôle NIST]],Cartographie_non_cyber_VDI[Émissions totales (kgC02e)])</f>
        <v>0</v>
      </c>
      <c r="G24" s="94">
        <f>SUMIF(Cartographie_non_cyber_serveurs[Sujet du NIST],Cartographie_des_résultats_non_cyber_par_sujet[[#This Row],[Contrôle NIST]],Cartographie_non_cyber_serveurs[Émissions totales (kgC02e)])</f>
        <v>0</v>
      </c>
    </row>
    <row r="25" spans="1:7" outlineLevel="1" x14ac:dyDescent="0.3">
      <c r="B25" t="s">
        <v>9</v>
      </c>
      <c r="C25" s="94">
        <f>SUM(Cartographie_des_résultats_non_cyber_par_sujet[[#This Row],[Poste de travail - Ordinateur portable]:[Serveurs non Cyber]])</f>
        <v>0</v>
      </c>
      <c r="D25" s="94">
        <f>SUMIF(Cartographie_poste_de_travail_non_cyber_ordinateur_portable[Sujet du NIST],Cartographie_des_résultats_non_cyber_par_sujet[[#This Row],[Contrôle NIST]],Cartographie_poste_de_travail_non_cyber_ordinateur_portable[Émissions totales (kgC02e)])</f>
        <v>0</v>
      </c>
      <c r="E25" s="94">
        <f>SUMIF(Cartographie_poste_de_travail_non_cyber_ordinateur_de_bureau[Sujet du NIST],Cartographie_des_résultats_non_cyber_par_sujet[[#This Row],[Contrôle NIST]],Cartographie_poste_de_travail_non_cyber_ordinateur_de_bureau[Émissions totales (kgC02e)])</f>
        <v>0</v>
      </c>
      <c r="F25" s="94">
        <f>SUMIF(Cartographie_non_cyber_VDI[Sujet du NIST],Cartographie_des_résultats_non_cyber_par_sujet[[#This Row],[Contrôle NIST]],Cartographie_non_cyber_VDI[Émissions totales (kgC02e)])</f>
        <v>0</v>
      </c>
      <c r="G25" s="94">
        <f>SUMIF(Cartographie_non_cyber_serveurs[Sujet du NIST],Cartographie_des_résultats_non_cyber_par_sujet[[#This Row],[Contrôle NIST]],Cartographie_non_cyber_serveurs[Émissions totales (kgC02e)])</f>
        <v>0</v>
      </c>
    </row>
    <row r="26" spans="1:7" outlineLevel="1" x14ac:dyDescent="0.3">
      <c r="B26" t="s">
        <v>10</v>
      </c>
      <c r="C26" s="94">
        <f>SUM(Cartographie_des_résultats_non_cyber_par_sujet[[#This Row],[Poste de travail - Ordinateur portable]:[Serveurs non Cyber]])</f>
        <v>24349.917117249999</v>
      </c>
      <c r="D26" s="94">
        <f>SUMIF(Cartographie_poste_de_travail_non_cyber_ordinateur_portable[Sujet du NIST],Cartographie_des_résultats_non_cyber_par_sujet[[#This Row],[Contrôle NIST]],Cartographie_poste_de_travail_non_cyber_ordinateur_portable[Émissions totales (kgC02e)])</f>
        <v>6671.6846448000006</v>
      </c>
      <c r="E26" s="94">
        <f>SUMIF(Cartographie_poste_de_travail_non_cyber_ordinateur_de_bureau[Sujet du NIST],Cartographie_des_résultats_non_cyber_par_sujet[[#This Row],[Contrôle NIST]],Cartographie_poste_de_travail_non_cyber_ordinateur_de_bureau[Émissions totales (kgC02e)])</f>
        <v>15657.303695999999</v>
      </c>
      <c r="F26" s="94">
        <f>SUMIF(Cartographie_non_cyber_VDI[Sujet du NIST],Cartographie_des_résultats_non_cyber_par_sujet[[#This Row],[Contrôle NIST]],Cartographie_non_cyber_VDI[Émissions totales (kgC02e)])</f>
        <v>0</v>
      </c>
      <c r="G26" s="94">
        <f>SUMIF(Cartographie_non_cyber_serveurs[Sujet du NIST],Cartographie_des_résultats_non_cyber_par_sujet[[#This Row],[Contrôle NIST]],Cartographie_non_cyber_serveurs[Émissions totales (kgC02e)])</f>
        <v>2020.92877645</v>
      </c>
    </row>
    <row r="27" spans="1:7" outlineLevel="1" x14ac:dyDescent="0.3">
      <c r="B27" t="s">
        <v>11</v>
      </c>
      <c r="C27" s="94">
        <f>SUM(Cartographie_des_résultats_non_cyber_par_sujet[[#This Row],[Poste de travail - Ordinateur portable]:[Serveurs non Cyber]])</f>
        <v>0</v>
      </c>
      <c r="D27" s="94">
        <f>SUMIF(Cartographie_poste_de_travail_non_cyber_ordinateur_portable[Sujet du NIST],Cartographie_des_résultats_non_cyber_par_sujet[[#This Row],[Contrôle NIST]],Cartographie_poste_de_travail_non_cyber_ordinateur_portable[Émissions totales (kgC02e)])</f>
        <v>0</v>
      </c>
      <c r="E27" s="94">
        <f>SUMIF(Cartographie_poste_de_travail_non_cyber_ordinateur_de_bureau[Sujet du NIST],Cartographie_des_résultats_non_cyber_par_sujet[[#This Row],[Contrôle NIST]],Cartographie_poste_de_travail_non_cyber_ordinateur_de_bureau[Émissions totales (kgC02e)])</f>
        <v>0</v>
      </c>
      <c r="F27" s="94">
        <f>SUMIF(Cartographie_non_cyber_VDI[Sujet du NIST],Cartographie_des_résultats_non_cyber_par_sujet[[#This Row],[Contrôle NIST]],Cartographie_non_cyber_VDI[Émissions totales (kgC02e)])</f>
        <v>0</v>
      </c>
      <c r="G27" s="94">
        <f>SUMIF(Cartographie_non_cyber_serveurs[Sujet du NIST],Cartographie_des_résultats_non_cyber_par_sujet[[#This Row],[Contrôle NIST]],Cartographie_non_cyber_serveurs[Émissions totales (kgC02e)])</f>
        <v>0</v>
      </c>
    </row>
    <row r="28" spans="1:7" outlineLevel="1" x14ac:dyDescent="0.3">
      <c r="B28" t="s">
        <v>12</v>
      </c>
      <c r="C28" s="94">
        <f>SUM(Cartographie_des_résultats_non_cyber_par_sujet[[#This Row],[Poste de travail - Ordinateur portable]:[Serveurs non Cyber]])</f>
        <v>0</v>
      </c>
      <c r="D28" s="94">
        <f>SUMIF(Cartographie_poste_de_travail_non_cyber_ordinateur_portable[Sujet du NIST],Cartographie_des_résultats_non_cyber_par_sujet[[#This Row],[Contrôle NIST]],Cartographie_poste_de_travail_non_cyber_ordinateur_portable[Émissions totales (kgC02e)])</f>
        <v>0</v>
      </c>
      <c r="E28" s="94">
        <f>SUMIF(Cartographie_poste_de_travail_non_cyber_ordinateur_de_bureau[Sujet du NIST],Cartographie_des_résultats_non_cyber_par_sujet[[#This Row],[Contrôle NIST]],Cartographie_poste_de_travail_non_cyber_ordinateur_de_bureau[Émissions totales (kgC02e)])</f>
        <v>0</v>
      </c>
      <c r="F28" s="94">
        <f>SUMIF(Cartographie_non_cyber_VDI[Sujet du NIST],Cartographie_des_résultats_non_cyber_par_sujet[[#This Row],[Contrôle NIST]],Cartographie_non_cyber_VDI[Émissions totales (kgC02e)])</f>
        <v>0</v>
      </c>
      <c r="G28" s="94">
        <f>SUMIF(Cartographie_non_cyber_serveurs[Sujet du NIST],Cartographie_des_résultats_non_cyber_par_sujet[[#This Row],[Contrôle NIST]],Cartographie_non_cyber_serveurs[Émissions totales (kgC02e)])</f>
        <v>0</v>
      </c>
    </row>
    <row r="29" spans="1:7" outlineLevel="1" x14ac:dyDescent="0.3">
      <c r="B29" t="s">
        <v>13</v>
      </c>
      <c r="C29" s="94">
        <f>SUM(Cartographie_des_résultats_non_cyber_par_sujet[[#This Row],[Poste de travail - Ordinateur portable]:[Serveurs non Cyber]])</f>
        <v>0</v>
      </c>
      <c r="D29" s="94">
        <f>SUMIF(Cartographie_poste_de_travail_non_cyber_ordinateur_portable[Sujet du NIST],Cartographie_des_résultats_non_cyber_par_sujet[[#This Row],[Contrôle NIST]],Cartographie_poste_de_travail_non_cyber_ordinateur_portable[Émissions totales (kgC02e)])</f>
        <v>0</v>
      </c>
      <c r="E29" s="94">
        <f>SUMIF(Cartographie_poste_de_travail_non_cyber_ordinateur_de_bureau[Sujet du NIST],Cartographie_des_résultats_non_cyber_par_sujet[[#This Row],[Contrôle NIST]],Cartographie_poste_de_travail_non_cyber_ordinateur_de_bureau[Émissions totales (kgC02e)])</f>
        <v>0</v>
      </c>
      <c r="F29" s="94">
        <f>SUMIF(Cartographie_non_cyber_VDI[Sujet du NIST],Cartographie_des_résultats_non_cyber_par_sujet[[#This Row],[Contrôle NIST]],Cartographie_non_cyber_VDI[Émissions totales (kgC02e)])</f>
        <v>0</v>
      </c>
      <c r="G29" s="94">
        <f>SUMIF(Cartographie_non_cyber_serveurs[Sujet du NIST],Cartographie_des_résultats_non_cyber_par_sujet[[#This Row],[Contrôle NIST]],Cartographie_non_cyber_serveurs[Émissions totales (kgC02e)])</f>
        <v>0</v>
      </c>
    </row>
    <row r="30" spans="1:7" x14ac:dyDescent="0.3">
      <c r="B30" t="s">
        <v>147</v>
      </c>
      <c r="C30" s="94">
        <f>SUBTOTAL(109,Cartographie_des_résultats_non_cyber_par_sujet[Total des émissions de logs et d''antivirus pour les équipements non Cyber (kgCO2e)])</f>
        <v>33076.888075333336</v>
      </c>
      <c r="D30" s="94">
        <f>SUBTOTAL(109,Cartographie_des_résultats_non_cyber_par_sujet[Poste de travail - Ordinateur portable])</f>
        <v>8943.5082954000009</v>
      </c>
      <c r="E30" s="94">
        <f>SUBTOTAL(109,Cartographie_des_résultats_non_cyber_par_sujet[Poste de travail - Ordinateur de bureau])</f>
        <v>21438.808077999998</v>
      </c>
      <c r="F30" s="94">
        <f>SUBTOTAL(109,Cartographie_des_résultats_non_cyber_par_sujet[VDI])</f>
        <v>0</v>
      </c>
      <c r="G30" s="94">
        <f>SUBTOTAL(109,Cartographie_des_résultats_non_cyber_par_sujet[Serveurs non Cyber])</f>
        <v>2694.5717019333333</v>
      </c>
    </row>
    <row r="31" spans="1:7" x14ac:dyDescent="0.3">
      <c r="A31"/>
    </row>
    <row r="32" spans="1:7" ht="40" x14ac:dyDescent="0.3">
      <c r="A32" s="236" t="s">
        <v>612</v>
      </c>
    </row>
    <row r="33" spans="1:11" s="22" customFormat="1" ht="37" customHeight="1" x14ac:dyDescent="0.3">
      <c r="B33" s="74" t="s">
        <v>420</v>
      </c>
      <c r="C33" s="74" t="s">
        <v>622</v>
      </c>
      <c r="D33" s="74" t="s">
        <v>298</v>
      </c>
      <c r="E33" s="74" t="s">
        <v>299</v>
      </c>
      <c r="F33" s="74" t="s">
        <v>734</v>
      </c>
      <c r="G33" s="45" t="s">
        <v>567</v>
      </c>
      <c r="H33" s="45" t="s">
        <v>568</v>
      </c>
      <c r="I33" s="45" t="s">
        <v>569</v>
      </c>
    </row>
    <row r="34" spans="1:11" ht="30" customHeight="1" x14ac:dyDescent="0.3">
      <c r="B34" s="120" t="s">
        <v>730</v>
      </c>
      <c r="C34" s="78"/>
      <c r="D34" s="95" t="s">
        <v>67</v>
      </c>
      <c r="E34" s="73" t="str">
        <f>_xlfn.XLOOKUP(Cartographie_poste_de_travail_non_cyber_ordinateur_portable[[#This Row],[Contrôle NIST]],Contrôle_de_référence_NIST[Contrôle NIST],Contrôle_de_référence_NIST[Sujet du NIST])</f>
        <v>OPS</v>
      </c>
      <c r="F34" s="92">
        <f>'3.3 Hypothèses'!$D$16</f>
        <v>7.4999999999999997E-3</v>
      </c>
      <c r="G34" s="94">
        <f>'1.9 Équipements Non-cyber'!I15*Cartographie_poste_de_travail_non_cyber_ordinateur_portable[[#This Row],[% Dédié à la Cyber]]</f>
        <v>1930.4286290324999</v>
      </c>
      <c r="H34" s="94">
        <f>'1.9 Équipements Non-cyber'!J15*Cartographie_poste_de_travail_non_cyber_ordinateur_portable[[#This Row],[% Dédié à la Cyber]]</f>
        <v>4740.8965500000004</v>
      </c>
      <c r="I34" s="94">
        <f>Cartographie_poste_de_travail_non_cyber_ordinateur_portable[[#This Row],[Champ d''application 2 (kgC02e)]]+Cartographie_poste_de_travail_non_cyber_ordinateur_portable[[#This Row],[Champ d''application 3 (kgC02e)]]</f>
        <v>6671.3251790325003</v>
      </c>
      <c r="K34" s="104"/>
    </row>
    <row r="35" spans="1:11" ht="42" customHeight="1" x14ac:dyDescent="0.3">
      <c r="B35" s="120" t="s">
        <v>731</v>
      </c>
      <c r="C35" s="78"/>
      <c r="D35" s="95" t="s">
        <v>33</v>
      </c>
      <c r="E35" s="73" t="str">
        <f>_xlfn.XLOOKUP(Cartographie_poste_de_travail_non_cyber_ordinateur_portable[[#This Row],[Contrôle NIST]],Contrôle_de_référence_NIST[Contrôle NIST],Contrôle_de_référence_NIST[Sujet du NIST])</f>
        <v>DET</v>
      </c>
      <c r="F35" s="92">
        <f>'3.3 Hypothèses'!$D$15</f>
        <v>2.5000000000000001E-3</v>
      </c>
      <c r="G35" s="94">
        <f>'1.9 Équipements Non-cyber'!I15*Cartographie_poste_de_travail_non_cyber_ordinateur_portable[[#This Row],[% Dédié à la Cyber]]</f>
        <v>643.47620967750004</v>
      </c>
      <c r="H35" s="94">
        <f>'1.9 Équipements Non-cyber'!J15*Cartographie_poste_de_travail_non_cyber_ordinateur_portable[[#This Row],[% Dédié à la Cyber]]</f>
        <v>1580.2988500000001</v>
      </c>
      <c r="I35" s="94">
        <f>Cartographie_poste_de_travail_non_cyber_ordinateur_portable[[#This Row],[Champ d''application 2 (kgC02e)]]+Cartographie_poste_de_travail_non_cyber_ordinateur_portable[[#This Row],[Champ d''application 3 (kgC02e)]]</f>
        <v>2223.7750596775004</v>
      </c>
      <c r="K35" s="104"/>
    </row>
    <row r="36" spans="1:11" ht="37" customHeight="1" x14ac:dyDescent="0.3">
      <c r="B36" s="120" t="s">
        <v>732</v>
      </c>
      <c r="C36" s="78"/>
      <c r="D36" s="95" t="s">
        <v>67</v>
      </c>
      <c r="E36" s="73" t="str">
        <f>_xlfn.XLOOKUP(Cartographie_poste_de_travail_non_cyber_ordinateur_portable[[#This Row],[Contrôle NIST]],Contrôle_de_référence_NIST[Contrôle NIST],Contrôle_de_référence_NIST[Sujet du NIST])</f>
        <v>OPS</v>
      </c>
      <c r="F36" s="92">
        <f>'3.3 Hypothèses'!$D$16</f>
        <v>7.4999999999999997E-3</v>
      </c>
      <c r="G36" s="94">
        <f>'1.9 Équipements Non-cyber'!I16*Cartographie_poste_de_travail_non_cyber_ordinateur_portable[[#This Row],[% Dédié à la Cyber]]</f>
        <v>0.10401576749999999</v>
      </c>
      <c r="H36" s="94">
        <f>'1.9 Équipements Non-cyber'!J16*Cartographie_poste_de_travail_non_cyber_ordinateur_portable[[#This Row],[% Dédié à la Cyber]]</f>
        <v>0.25545000000000001</v>
      </c>
      <c r="I36" s="94">
        <f>Cartographie_poste_de_travail_non_cyber_ordinateur_portable[[#This Row],[Champ d''application 2 (kgC02e)]]+Cartographie_poste_de_travail_non_cyber_ordinateur_portable[[#This Row],[Champ d''application 3 (kgC02e)]]</f>
        <v>0.35946576750000003</v>
      </c>
      <c r="K36" s="104"/>
    </row>
    <row r="37" spans="1:11" ht="37" customHeight="1" x14ac:dyDescent="0.3">
      <c r="B37" s="120" t="s">
        <v>733</v>
      </c>
      <c r="C37" s="78"/>
      <c r="D37" s="95" t="s">
        <v>33</v>
      </c>
      <c r="E37" s="73" t="str">
        <f>_xlfn.XLOOKUP(Cartographie_poste_de_travail_non_cyber_ordinateur_portable[[#This Row],[Contrôle NIST]],Contrôle_de_référence_NIST[Contrôle NIST],Contrôle_de_référence_NIST[Sujet du NIST])</f>
        <v>DET</v>
      </c>
      <c r="F37" s="92">
        <f>'3.3 Hypothèses'!$D$15</f>
        <v>2.5000000000000001E-3</v>
      </c>
      <c r="G37" s="94">
        <f>'1.9 Équipements Non-cyber'!I16*Cartographie_poste_de_travail_non_cyber_ordinateur_portable[[#This Row],[% Dédié à la Cyber]]</f>
        <v>3.4671922500000001E-2</v>
      </c>
      <c r="H37" s="94">
        <f>'1.9 Équipements Non-cyber'!J16*Cartographie_poste_de_travail_non_cyber_ordinateur_portable[[#This Row],[% Dédié à la Cyber]]</f>
        <v>8.5150000000000003E-2</v>
      </c>
      <c r="I37" s="94">
        <f>Cartographie_poste_de_travail_non_cyber_ordinateur_portable[[#This Row],[Champ d''application 2 (kgC02e)]]+Cartographie_poste_de_travail_non_cyber_ordinateur_portable[[#This Row],[Champ d''application 3 (kgC02e)]]</f>
        <v>0.11982192250000001</v>
      </c>
      <c r="K37" s="104"/>
    </row>
    <row r="38" spans="1:11" ht="30" customHeight="1" x14ac:dyDescent="0.3">
      <c r="B38" s="120" t="s">
        <v>711</v>
      </c>
      <c r="C38" s="78"/>
      <c r="D38" s="95" t="s">
        <v>46</v>
      </c>
      <c r="E38" s="73" t="str">
        <f>_xlfn.XLOOKUP(Cartographie_poste_de_travail_non_cyber_ordinateur_portable[[#This Row],[Contrôle NIST]],Contrôle_de_référence_NIST[Contrôle NIST],Contrôle_de_référence_NIST[Sujet du NIST])</f>
        <v>ENDPT</v>
      </c>
      <c r="F38" s="93">
        <v>1</v>
      </c>
      <c r="G38" s="94">
        <f>'1.9 Équipements Non-cyber'!I17*Cartographie_poste_de_travail_non_cyber_ordinateur_portable[[#This Row],[% Dédié à la Cyber]]</f>
        <v>13.868769</v>
      </c>
      <c r="H38" s="94">
        <f>'1.9 Équipements Non-cyber'!J17*Cartographie_poste_de_travail_non_cyber_ordinateur_portable[[#This Row],[% Dédié à la Cyber]]</f>
        <v>34.06</v>
      </c>
      <c r="I38" s="94">
        <f>Cartographie_poste_de_travail_non_cyber_ordinateur_portable[[#This Row],[Champ d''application 2 (kgC02e)]]+Cartographie_poste_de_travail_non_cyber_ordinateur_portable[[#This Row],[Champ d''application 3 (kgC02e)]]</f>
        <v>47.928769000000003</v>
      </c>
      <c r="K38" s="104"/>
    </row>
    <row r="41" spans="1:11" ht="40" x14ac:dyDescent="0.3">
      <c r="A41" s="236" t="s">
        <v>613</v>
      </c>
    </row>
    <row r="42" spans="1:11" s="22" customFormat="1" ht="29.5" customHeight="1" x14ac:dyDescent="0.3">
      <c r="B42" s="74" t="s">
        <v>420</v>
      </c>
      <c r="C42" s="74" t="s">
        <v>622</v>
      </c>
      <c r="D42" s="74" t="s">
        <v>298</v>
      </c>
      <c r="E42" s="74" t="s">
        <v>299</v>
      </c>
      <c r="F42" s="74" t="s">
        <v>734</v>
      </c>
      <c r="G42" s="45" t="s">
        <v>567</v>
      </c>
      <c r="H42" s="45" t="s">
        <v>568</v>
      </c>
      <c r="I42" s="45" t="s">
        <v>569</v>
      </c>
    </row>
    <row r="43" spans="1:11" ht="30" customHeight="1" x14ac:dyDescent="0.3">
      <c r="B43" s="120" t="s">
        <v>730</v>
      </c>
      <c r="C43" s="131"/>
      <c r="D43" s="95" t="s">
        <v>67</v>
      </c>
      <c r="E43" s="73" t="str">
        <f>_xlfn.XLOOKUP(Cartographie_poste_de_travail_non_cyber_ordinateur_de_bureau[[#This Row],[Contrôle NIST]],Contrôle_de_référence_NIST[Contrôle NIST],Contrôle_de_référence_NIST[Sujet du NIST])</f>
        <v>OPS</v>
      </c>
      <c r="F43" s="92">
        <f>'3.3 Hypothèses'!$D$16</f>
        <v>7.4999999999999997E-3</v>
      </c>
      <c r="G43" s="94">
        <f>'1.9 Équipements Non-cyber'!I22*Cartographie_poste_de_travail_non_cyber_ordinateur_de_bureau[[#This Row],[% Dédié à la Cyber]]</f>
        <v>10017.000789825001</v>
      </c>
      <c r="H43" s="94">
        <f>'1.9 Équipements Non-cyber'!J22*Cartographie_poste_de_travail_non_cyber_ordinateur_de_bureau[[#This Row],[% Dédié à la Cyber]]</f>
        <v>5639.4593014499997</v>
      </c>
      <c r="I43" s="94">
        <f>Cartographie_poste_de_travail_non_cyber_ordinateur_de_bureau[[#This Row],[Champ d''application 2 (kgC02e)]]+Cartographie_poste_de_travail_non_cyber_ordinateur_de_bureau[[#This Row],[Champ d''application 3 (kgC02e)]]</f>
        <v>15656.460091274999</v>
      </c>
      <c r="K43" s="104"/>
    </row>
    <row r="44" spans="1:11" ht="30" customHeight="1" x14ac:dyDescent="0.3">
      <c r="B44" s="120" t="s">
        <v>731</v>
      </c>
      <c r="C44" s="131"/>
      <c r="D44" s="95" t="s">
        <v>33</v>
      </c>
      <c r="E44" s="73" t="str">
        <f>_xlfn.XLOOKUP(Cartographie_poste_de_travail_non_cyber_ordinateur_de_bureau[[#This Row],[Contrôle NIST]],Contrôle_de_référence_NIST[Contrôle NIST],Contrôle_de_référence_NIST[Sujet du NIST])</f>
        <v>DET</v>
      </c>
      <c r="F44" s="92">
        <f>'3.3 Hypothèses'!$D$15</f>
        <v>2.5000000000000001E-3</v>
      </c>
      <c r="G44" s="94">
        <f>'1.9 Équipements Non-cyber'!I22*Cartographie_poste_de_travail_non_cyber_ordinateur_de_bureau[[#This Row],[% Dédié à la Cyber]]</f>
        <v>3339.0002632750002</v>
      </c>
      <c r="H44" s="94">
        <f>'1.9 Équipements Non-cyber'!J22*Cartographie_poste_de_travail_non_cyber_ordinateur_de_bureau[[#This Row],[% Dédié à la Cyber]]</f>
        <v>1879.81976715</v>
      </c>
      <c r="I44" s="94">
        <f>Cartographie_poste_de_travail_non_cyber_ordinateur_de_bureau[[#This Row],[Champ d''application 2 (kgC02e)]]+Cartographie_poste_de_travail_non_cyber_ordinateur_de_bureau[[#This Row],[Champ d''application 3 (kgC02e)]]</f>
        <v>5218.8200304250004</v>
      </c>
      <c r="K44" s="104"/>
    </row>
    <row r="45" spans="1:11" ht="30" customHeight="1" x14ac:dyDescent="0.3">
      <c r="B45" s="120" t="s">
        <v>732</v>
      </c>
      <c r="C45" s="131"/>
      <c r="D45" s="95" t="s">
        <v>67</v>
      </c>
      <c r="E45" s="73" t="str">
        <f>_xlfn.XLOOKUP(Cartographie_poste_de_travail_non_cyber_ordinateur_de_bureau[[#This Row],[Contrôle NIST]],Contrôle_de_référence_NIST[Contrôle NIST],Contrôle_de_référence_NIST[Sujet du NIST])</f>
        <v>OPS</v>
      </c>
      <c r="F45" s="92">
        <f>'3.3 Hypothèses'!$D$16</f>
        <v>7.4999999999999997E-3</v>
      </c>
      <c r="G45" s="94">
        <f>'1.9 Équipements Non-cyber'!I23*Cartographie_poste_de_travail_non_cyber_ordinateur_de_bureau[[#This Row],[% Dédié à la Cyber]]</f>
        <v>0.53973817499999999</v>
      </c>
      <c r="H45" s="94">
        <f>'1.9 Équipements Non-cyber'!J23*Cartographie_poste_de_travail_non_cyber_ordinateur_de_bureau[[#This Row],[% Dédié à la Cyber]]</f>
        <v>0.30386655000000001</v>
      </c>
      <c r="I45" s="94">
        <f>Cartographie_poste_de_travail_non_cyber_ordinateur_de_bureau[[#This Row],[Champ d''application 2 (kgC02e)]]+Cartographie_poste_de_travail_non_cyber_ordinateur_de_bureau[[#This Row],[Champ d''application 3 (kgC02e)]]</f>
        <v>0.84360472500000006</v>
      </c>
      <c r="K45" s="104"/>
    </row>
    <row r="46" spans="1:11" ht="30" customHeight="1" x14ac:dyDescent="0.3">
      <c r="B46" s="120" t="s">
        <v>733</v>
      </c>
      <c r="C46" s="131"/>
      <c r="D46" s="95" t="s">
        <v>33</v>
      </c>
      <c r="E46" s="73" t="str">
        <f>_xlfn.XLOOKUP(Cartographie_poste_de_travail_non_cyber_ordinateur_de_bureau[[#This Row],[Contrôle NIST]],Contrôle_de_référence_NIST[Contrôle NIST],Contrôle_de_référence_NIST[Sujet du NIST])</f>
        <v>DET</v>
      </c>
      <c r="F46" s="92">
        <f>'3.3 Hypothèses'!$D$15</f>
        <v>2.5000000000000001E-3</v>
      </c>
      <c r="G46" s="94">
        <f>'1.9 Équipements Non-cyber'!I23*Cartographie_poste_de_travail_non_cyber_ordinateur_de_bureau[[#This Row],[% Dédié à la Cyber]]</f>
        <v>0.17991272500000002</v>
      </c>
      <c r="H46" s="94">
        <f>'1.9 Équipements Non-cyber'!J23*Cartographie_poste_de_travail_non_cyber_ordinateur_de_bureau[[#This Row],[% Dédié à la Cyber]]</f>
        <v>0.10128885</v>
      </c>
      <c r="I46" s="94">
        <f>Cartographie_poste_de_travail_non_cyber_ordinateur_de_bureau[[#This Row],[Champ d''application 2 (kgC02e)]]+Cartographie_poste_de_travail_non_cyber_ordinateur_de_bureau[[#This Row],[Champ d''application 3 (kgC02e)]]</f>
        <v>0.28120157500000004</v>
      </c>
      <c r="K46" s="104"/>
    </row>
    <row r="47" spans="1:11" ht="30" customHeight="1" x14ac:dyDescent="0.3">
      <c r="B47" s="120" t="s">
        <v>711</v>
      </c>
      <c r="C47" s="131"/>
      <c r="D47" s="95" t="s">
        <v>46</v>
      </c>
      <c r="E47" s="73" t="str">
        <f>_xlfn.XLOOKUP(Cartographie_poste_de_travail_non_cyber_ordinateur_de_bureau[[#This Row],[Contrôle NIST]],Contrôle_de_référence_NIST[Contrôle NIST],Contrôle_de_référence_NIST[Sujet du NIST])</f>
        <v>ENDPT</v>
      </c>
      <c r="F47" s="93">
        <v>1</v>
      </c>
      <c r="G47" s="94">
        <f>'1.9 Équipements Non-cyber'!I24*Cartographie_poste_de_travail_non_cyber_ordinateur_de_bureau[[#This Row],[% Dédié à la Cyber]]</f>
        <v>359.82545000000005</v>
      </c>
      <c r="H47" s="94">
        <f>'1.9 Équipements Non-cyber'!J24*Cartographie_poste_de_travail_non_cyber_ordinateur_de_bureau[[#This Row],[% Dédié à la Cyber]]</f>
        <v>202.57769999999999</v>
      </c>
      <c r="I47" s="94">
        <f>Cartographie_poste_de_travail_non_cyber_ordinateur_de_bureau[[#This Row],[Champ d''application 2 (kgC02e)]]+Cartographie_poste_de_travail_non_cyber_ordinateur_de_bureau[[#This Row],[Champ d''application 3 (kgC02e)]]</f>
        <v>562.4031500000001</v>
      </c>
      <c r="K47" s="104"/>
    </row>
    <row r="48" spans="1:11" ht="15" customHeight="1" x14ac:dyDescent="0.3">
      <c r="K48" s="104"/>
    </row>
    <row r="49" spans="1:11" ht="29.5" customHeight="1" x14ac:dyDescent="0.3">
      <c r="A49" s="236" t="s">
        <v>653</v>
      </c>
      <c r="K49" s="104"/>
    </row>
    <row r="50" spans="1:11" ht="15" customHeight="1" x14ac:dyDescent="0.3">
      <c r="K50" s="104"/>
    </row>
    <row r="51" spans="1:11" ht="40.5" customHeight="1" x14ac:dyDescent="0.3">
      <c r="B51" s="45" t="s">
        <v>420</v>
      </c>
      <c r="C51" s="74" t="s">
        <v>622</v>
      </c>
      <c r="D51" s="74" t="s">
        <v>298</v>
      </c>
      <c r="E51" s="74" t="s">
        <v>299</v>
      </c>
      <c r="F51" s="45" t="s">
        <v>567</v>
      </c>
      <c r="G51" s="45" t="s">
        <v>568</v>
      </c>
      <c r="H51" s="45" t="s">
        <v>569</v>
      </c>
    </row>
    <row r="52" spans="1:11" x14ac:dyDescent="0.3">
      <c r="B52" s="121" t="s">
        <v>616</v>
      </c>
      <c r="C52" s="79"/>
      <c r="D52" s="73" t="s">
        <v>46</v>
      </c>
      <c r="E52" s="73" t="str">
        <f>_xlfn.XLOOKUP(Cartographie_non_cyber_VDI[[#This Row],[Contrôle NIST]],Contrôle_de_référence_NIST[Contrôle NIST],Contrôle_de_référence_NIST[Sujet du NIST])</f>
        <v>ENDPT</v>
      </c>
      <c r="F52" s="94">
        <f>'1.9 Équipements Non-cyber'!H31</f>
        <v>0</v>
      </c>
      <c r="G52" s="94">
        <f>'1.9 Équipements Non-cyber'!I31</f>
        <v>0</v>
      </c>
      <c r="H52" s="94">
        <f>Cartographie_non_cyber_VDI[[#This Row],[Champ d''application 2 (kgC02e)]]+Cartographie_non_cyber_VDI[[#This Row],[Champ d''application 3 (kgC02e)]]</f>
        <v>0</v>
      </c>
    </row>
    <row r="53" spans="1:11" x14ac:dyDescent="0.3">
      <c r="B53" s="121" t="s">
        <v>655</v>
      </c>
      <c r="C53" s="79"/>
      <c r="D53" s="73" t="s">
        <v>42</v>
      </c>
      <c r="E53" s="73" t="str">
        <f>_xlfn.XLOOKUP(Cartographie_non_cyber_VDI[[#This Row],[Contrôle NIST]],Contrôle_de_référence_NIST[Contrôle NIST],Contrôle_de_référence_NIST[Sujet du NIST])</f>
        <v>ENDPT</v>
      </c>
      <c r="F53" s="94">
        <f>'1.9 Équipements Non-cyber'!H32</f>
        <v>0</v>
      </c>
      <c r="G53" s="94">
        <f>'1.9 Équipements Non-cyber'!I32</f>
        <v>0</v>
      </c>
      <c r="H53" s="94">
        <f>Cartographie_non_cyber_VDI[[#This Row],[Champ d''application 2 (kgC02e)]]+Cartographie_non_cyber_VDI[[#This Row],[Champ d''application 3 (kgC02e)]]</f>
        <v>0</v>
      </c>
    </row>
    <row r="57" spans="1:11" ht="20" x14ac:dyDescent="0.3">
      <c r="A57" s="236" t="s">
        <v>654</v>
      </c>
      <c r="B57"/>
      <c r="C57"/>
      <c r="D57"/>
      <c r="E57"/>
      <c r="F57"/>
      <c r="G57"/>
      <c r="H57"/>
      <c r="I57"/>
    </row>
    <row r="58" spans="1:11" ht="55.5" customHeight="1" x14ac:dyDescent="0.3">
      <c r="A58"/>
      <c r="B58" s="74" t="s">
        <v>420</v>
      </c>
      <c r="C58" s="74" t="s">
        <v>622</v>
      </c>
      <c r="D58" s="74" t="s">
        <v>298</v>
      </c>
      <c r="E58" s="74" t="s">
        <v>299</v>
      </c>
      <c r="F58" s="74" t="s">
        <v>734</v>
      </c>
      <c r="G58" s="45" t="s">
        <v>567</v>
      </c>
      <c r="H58" s="45" t="s">
        <v>568</v>
      </c>
      <c r="I58" s="83" t="s">
        <v>569</v>
      </c>
      <c r="J58" s="104"/>
    </row>
    <row r="59" spans="1:11" x14ac:dyDescent="0.3">
      <c r="A59"/>
      <c r="B59" s="120" t="s">
        <v>709</v>
      </c>
      <c r="C59" s="78"/>
      <c r="D59" s="95" t="s">
        <v>33</v>
      </c>
      <c r="E59" s="73" t="str">
        <f>_xlfn.XLOOKUP(Cartographie_non_cyber_serveurs[[#This Row],[Contrôle NIST]],Contrôle_de_référence_NIST[Contrôle NIST],Contrôle_de_référence_NIST[Sujet du NIST])</f>
        <v>DET</v>
      </c>
      <c r="F59" s="92">
        <f>'3.3 Hypothèses'!D17</f>
        <v>7.4999999999999997E-3</v>
      </c>
      <c r="G59" s="94">
        <f>SUM(Serveurs_Non_Cyber[Champ d''application 2 (kgCO2e)])*Cartographie_non_cyber_serveurs[[#This Row],[% Dédié à la Cyber]]</f>
        <v>152.83459215000002</v>
      </c>
      <c r="H59" s="94">
        <f>SUM(Serveurs_Non_Cyber[Champ d''application 3 (kgCO2e)])*Cartographie_non_cyber_serveurs[[#This Row],[% Dédié à la Cyber]]</f>
        <v>520.80833333333328</v>
      </c>
      <c r="I59" s="94">
        <f>Cartographie_non_cyber_serveurs[[#This Row],[Champ d''application 2 (kgC02e)]]+Cartographie_non_cyber_serveurs[[#This Row],[Champ d''application 3 (kgC02e)]]</f>
        <v>673.64292548333333</v>
      </c>
    </row>
    <row r="60" spans="1:11" ht="28" x14ac:dyDescent="0.3">
      <c r="A60"/>
      <c r="B60" s="120" t="s">
        <v>710</v>
      </c>
      <c r="C60" s="78"/>
      <c r="D60" s="95" t="s">
        <v>67</v>
      </c>
      <c r="E60" s="73" t="str">
        <f>_xlfn.XLOOKUP(Cartographie_non_cyber_serveurs[[#This Row],[Contrôle NIST]],Contrôle_de_référence_NIST[Contrôle NIST],Contrôle_de_référence_NIST[Sujet du NIST])</f>
        <v>OPS</v>
      </c>
      <c r="F60" s="92">
        <f>'3.3 Hypothèses'!D18</f>
        <v>2.2499999999999999E-2</v>
      </c>
      <c r="G60" s="94">
        <f>SUM(Serveurs_Non_Cyber[Champ d''application 2 (kgCO2e)])*Cartographie_non_cyber_serveurs[[#This Row],[% Dédié à la Cyber]]</f>
        <v>458.50377645000003</v>
      </c>
      <c r="H60" s="94">
        <f>SUM(Serveurs_Non_Cyber[Champ d''application 3 (kgCO2e)])*Cartographie_non_cyber_serveurs[[#This Row],[% Dédié à la Cyber]]</f>
        <v>1562.425</v>
      </c>
      <c r="I60" s="94">
        <f>Cartographie_non_cyber_serveurs[[#This Row],[Champ d''application 2 (kgC02e)]]+Cartographie_non_cyber_serveurs[[#This Row],[Champ d''application 3 (kgC02e)]]</f>
        <v>2020.92877645</v>
      </c>
    </row>
    <row r="61" spans="1:11" x14ac:dyDescent="0.3">
      <c r="A61"/>
      <c r="B61"/>
      <c r="C61"/>
      <c r="D61"/>
      <c r="E61"/>
      <c r="F61"/>
      <c r="G61"/>
      <c r="H61"/>
      <c r="I61"/>
    </row>
    <row r="62" spans="1:11" x14ac:dyDescent="0.3">
      <c r="A62"/>
      <c r="B62"/>
      <c r="C62"/>
      <c r="D62"/>
      <c r="E62"/>
      <c r="F62"/>
      <c r="G62"/>
      <c r="H62"/>
      <c r="I62"/>
    </row>
  </sheetData>
  <pageMargins left="0.7" right="0.7" top="0.75" bottom="0.75" header="0.3" footer="0.3"/>
  <pageSetup paperSize="9" orientation="portrait"/>
  <tableParts count="5">
    <tablePart r:id="rId1"/>
    <tablePart r:id="rId2"/>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4758F-AC9B-4F8E-89CE-C7A76EADFC54}">
  <sheetPr>
    <tabColor theme="8"/>
  </sheetPr>
  <dimension ref="A1:D154"/>
  <sheetViews>
    <sheetView showGridLines="0" zoomScale="85" zoomScaleNormal="85" workbookViewId="0">
      <selection activeCell="G10" sqref="G10"/>
    </sheetView>
  </sheetViews>
  <sheetFormatPr baseColWidth="10" defaultColWidth="11.4140625" defaultRowHeight="14" x14ac:dyDescent="0.3"/>
  <cols>
    <col min="2" max="2" width="29.08203125" customWidth="1"/>
    <col min="3" max="3" width="14.9140625" customWidth="1"/>
    <col min="4" max="4" width="18.75" customWidth="1"/>
  </cols>
  <sheetData>
    <row r="1" spans="1:4" ht="19" customHeight="1" x14ac:dyDescent="0.35">
      <c r="A1" s="276" t="s">
        <v>404</v>
      </c>
      <c r="B1" s="18"/>
      <c r="C1" s="18"/>
    </row>
    <row r="2" spans="1:4" ht="23.5" customHeight="1" x14ac:dyDescent="0.3">
      <c r="A2" s="18" t="s">
        <v>155</v>
      </c>
      <c r="B2" s="270" t="s">
        <v>156</v>
      </c>
      <c r="C2" s="18" t="s">
        <v>157</v>
      </c>
    </row>
    <row r="3" spans="1:4" x14ac:dyDescent="0.3">
      <c r="A3" s="18"/>
      <c r="B3" s="18"/>
      <c r="C3" s="18"/>
    </row>
    <row r="4" spans="1:4" x14ac:dyDescent="0.3">
      <c r="A4" s="18"/>
      <c r="B4" s="19" t="s">
        <v>158</v>
      </c>
      <c r="C4" s="19" t="s">
        <v>159</v>
      </c>
      <c r="D4" s="19" t="s">
        <v>581</v>
      </c>
    </row>
    <row r="5" spans="1:4" ht="15" customHeight="1" x14ac:dyDescent="0.3">
      <c r="A5" s="18"/>
      <c r="B5" s="271" t="s">
        <v>305</v>
      </c>
      <c r="C5" s="272">
        <v>0.54800000000000004</v>
      </c>
      <c r="D5" s="273"/>
    </row>
    <row r="6" spans="1:4" ht="15" customHeight="1" x14ac:dyDescent="0.3">
      <c r="A6" s="18"/>
      <c r="B6" s="271" t="s">
        <v>84</v>
      </c>
      <c r="C6" s="272">
        <v>0.44</v>
      </c>
      <c r="D6" s="273"/>
    </row>
    <row r="7" spans="1:4" ht="15" customHeight="1" x14ac:dyDescent="0.3">
      <c r="A7" s="18"/>
      <c r="B7" s="271" t="s">
        <v>306</v>
      </c>
      <c r="C7" s="272">
        <v>0.36699999999999999</v>
      </c>
      <c r="D7" s="273"/>
    </row>
    <row r="8" spans="1:4" ht="15" customHeight="1" x14ac:dyDescent="0.3">
      <c r="A8" s="18"/>
      <c r="B8" s="271" t="s">
        <v>307</v>
      </c>
      <c r="C8" s="272">
        <v>0.18099999999999999</v>
      </c>
      <c r="D8" s="273"/>
    </row>
    <row r="9" spans="1:4" ht="15" customHeight="1" x14ac:dyDescent="0.3">
      <c r="A9" s="18"/>
      <c r="B9" s="271" t="s">
        <v>308</v>
      </c>
      <c r="C9" s="272">
        <v>0.84099999999999997</v>
      </c>
      <c r="D9" s="273"/>
    </row>
    <row r="10" spans="1:4" ht="15" customHeight="1" x14ac:dyDescent="0.3">
      <c r="A10" s="18"/>
      <c r="B10" s="271" t="s">
        <v>309</v>
      </c>
      <c r="C10" s="272">
        <v>0.188</v>
      </c>
      <c r="D10" s="273"/>
    </row>
    <row r="11" spans="1:4" ht="15" customHeight="1" x14ac:dyDescent="0.3">
      <c r="A11" s="18"/>
      <c r="B11" s="271" t="s">
        <v>310</v>
      </c>
      <c r="C11" s="272">
        <v>0.58399999999999996</v>
      </c>
      <c r="D11" s="273"/>
    </row>
    <row r="12" spans="1:4" ht="15" customHeight="1" x14ac:dyDescent="0.3">
      <c r="A12" s="18"/>
      <c r="B12" s="271" t="s">
        <v>791</v>
      </c>
      <c r="C12" s="272">
        <v>0.64</v>
      </c>
      <c r="D12" s="273"/>
    </row>
    <row r="13" spans="1:4" ht="15" customHeight="1" x14ac:dyDescent="0.3">
      <c r="A13" s="18"/>
      <c r="B13" s="271" t="s">
        <v>85</v>
      </c>
      <c r="C13" s="272">
        <v>0.59299999999999997</v>
      </c>
      <c r="D13" s="273"/>
    </row>
    <row r="14" spans="1:4" ht="15" customHeight="1" x14ac:dyDescent="0.3">
      <c r="A14" s="18"/>
      <c r="B14" s="271" t="s">
        <v>311</v>
      </c>
      <c r="C14" s="272">
        <v>0.58499999999999996</v>
      </c>
      <c r="D14" s="273"/>
    </row>
    <row r="15" spans="1:4" ht="15" customHeight="1" x14ac:dyDescent="0.3">
      <c r="A15" s="18"/>
      <c r="B15" s="271" t="s">
        <v>312</v>
      </c>
      <c r="C15" s="272">
        <v>0.22</v>
      </c>
      <c r="D15" s="273"/>
    </row>
    <row r="16" spans="1:4" ht="15" customHeight="1" x14ac:dyDescent="0.3">
      <c r="A16" s="18"/>
      <c r="B16" s="271" t="s">
        <v>313</v>
      </c>
      <c r="C16" s="272">
        <v>0.72</v>
      </c>
      <c r="D16" s="273"/>
    </row>
    <row r="17" spans="1:4" ht="15" customHeight="1" x14ac:dyDescent="0.3">
      <c r="A17" s="18"/>
      <c r="B17" s="271" t="s">
        <v>314</v>
      </c>
      <c r="C17" s="272">
        <v>0.42299999999999999</v>
      </c>
      <c r="D17" s="273"/>
    </row>
    <row r="18" spans="1:4" ht="15" customHeight="1" x14ac:dyDescent="0.3">
      <c r="A18" s="18"/>
      <c r="B18" s="271" t="s">
        <v>315</v>
      </c>
      <c r="C18" s="272">
        <v>0.72899999999999998</v>
      </c>
      <c r="D18" s="273"/>
    </row>
    <row r="19" spans="1:4" ht="15" customHeight="1" x14ac:dyDescent="0.3">
      <c r="A19" s="18"/>
      <c r="B19" s="271" t="s">
        <v>86</v>
      </c>
      <c r="C19" s="272">
        <v>2.5169999999999999</v>
      </c>
      <c r="D19" s="273"/>
    </row>
    <row r="20" spans="1:4" ht="15" customHeight="1" x14ac:dyDescent="0.3">
      <c r="A20" s="18"/>
      <c r="B20" s="271" t="s">
        <v>316</v>
      </c>
      <c r="C20" s="272">
        <v>8.6999999999999994E-2</v>
      </c>
      <c r="D20" s="273"/>
    </row>
    <row r="21" spans="1:4" ht="15" customHeight="1" x14ac:dyDescent="0.3">
      <c r="A21" s="18"/>
      <c r="B21" s="271" t="s">
        <v>160</v>
      </c>
      <c r="C21" s="272">
        <v>0.79800000000000004</v>
      </c>
      <c r="D21" s="273"/>
    </row>
    <row r="22" spans="1:4" ht="15" customHeight="1" x14ac:dyDescent="0.3">
      <c r="A22" s="18"/>
      <c r="B22" s="271" t="s">
        <v>317</v>
      </c>
      <c r="C22" s="272">
        <v>0.57899999999999996</v>
      </c>
      <c r="D22" s="273"/>
    </row>
    <row r="23" spans="1:4" ht="15" customHeight="1" x14ac:dyDescent="0.3">
      <c r="A23" s="18"/>
      <c r="B23" s="271" t="s">
        <v>792</v>
      </c>
      <c r="C23" s="272">
        <v>0.80400000000000005</v>
      </c>
      <c r="D23" s="273"/>
    </row>
    <row r="24" spans="1:4" ht="15" customHeight="1" x14ac:dyDescent="0.3">
      <c r="A24" s="18"/>
      <c r="B24" s="271" t="s">
        <v>318</v>
      </c>
      <c r="C24" s="272">
        <v>0.20699999999999999</v>
      </c>
      <c r="D24" s="273"/>
    </row>
    <row r="25" spans="1:4" ht="15" customHeight="1" x14ac:dyDescent="0.3">
      <c r="A25" s="18"/>
      <c r="B25" s="271" t="s">
        <v>87</v>
      </c>
      <c r="C25" s="272">
        <v>0.186</v>
      </c>
      <c r="D25" s="273"/>
    </row>
    <row r="26" spans="1:4" ht="15" customHeight="1" x14ac:dyDescent="0.3">
      <c r="A26" s="18"/>
      <c r="B26" s="271" t="s">
        <v>319</v>
      </c>
      <c r="C26" s="272">
        <v>0.41</v>
      </c>
      <c r="D26" s="273"/>
    </row>
    <row r="27" spans="1:4" ht="15" customHeight="1" x14ac:dyDescent="0.3">
      <c r="A27" s="18"/>
      <c r="B27" s="271" t="s">
        <v>320</v>
      </c>
      <c r="C27" s="272">
        <v>0.76600000000000001</v>
      </c>
      <c r="D27" s="273"/>
    </row>
    <row r="28" spans="1:4" ht="15" customHeight="1" x14ac:dyDescent="0.3">
      <c r="A28" s="18"/>
      <c r="B28" s="271" t="s">
        <v>321</v>
      </c>
      <c r="C28" s="272">
        <v>0.17599999999999999</v>
      </c>
      <c r="D28" s="273"/>
    </row>
    <row r="29" spans="1:4" ht="15" customHeight="1" x14ac:dyDescent="0.3">
      <c r="A29" s="18"/>
      <c r="B29" s="271" t="s">
        <v>88</v>
      </c>
      <c r="C29" s="272">
        <v>0.14199999999999999</v>
      </c>
      <c r="D29" s="273"/>
    </row>
    <row r="30" spans="1:4" ht="15" customHeight="1" x14ac:dyDescent="0.3">
      <c r="A30" s="18"/>
      <c r="B30" s="271" t="s">
        <v>89</v>
      </c>
      <c r="C30" s="272">
        <v>5.6000000000000001E-2</v>
      </c>
      <c r="D30" s="273"/>
    </row>
    <row r="31" spans="1:4" ht="15" customHeight="1" x14ac:dyDescent="0.3">
      <c r="A31" s="18"/>
      <c r="B31" s="271" t="s">
        <v>322</v>
      </c>
      <c r="C31" s="272">
        <v>0.30499999999999999</v>
      </c>
      <c r="D31" s="273"/>
    </row>
    <row r="32" spans="1:4" ht="15" customHeight="1" x14ac:dyDescent="0.3">
      <c r="A32" s="18"/>
      <c r="B32" s="271" t="s">
        <v>90</v>
      </c>
      <c r="C32" s="272">
        <v>1.012</v>
      </c>
      <c r="D32" s="273"/>
    </row>
    <row r="33" spans="1:4" ht="15" customHeight="1" x14ac:dyDescent="0.3">
      <c r="A33" s="18"/>
      <c r="B33" s="271" t="s">
        <v>323</v>
      </c>
      <c r="C33" s="272">
        <v>0.70199999999999996</v>
      </c>
      <c r="D33" s="273"/>
    </row>
    <row r="34" spans="1:4" ht="15" customHeight="1" x14ac:dyDescent="0.3">
      <c r="A34" s="18"/>
      <c r="B34" s="271" t="s">
        <v>324</v>
      </c>
      <c r="C34" s="272">
        <v>0.58899999999999997</v>
      </c>
      <c r="D34" s="273"/>
    </row>
    <row r="35" spans="1:4" ht="15" customHeight="1" x14ac:dyDescent="0.3">
      <c r="A35" s="18"/>
      <c r="B35" s="271" t="s">
        <v>325</v>
      </c>
      <c r="C35" s="272">
        <v>0.36</v>
      </c>
      <c r="D35" s="273"/>
    </row>
    <row r="36" spans="1:4" ht="15" customHeight="1" x14ac:dyDescent="0.3">
      <c r="A36" s="18"/>
      <c r="B36" s="271" t="s">
        <v>326</v>
      </c>
      <c r="C36" s="272">
        <v>0.58899999999999997</v>
      </c>
      <c r="D36" s="273"/>
    </row>
    <row r="37" spans="1:4" ht="15" customHeight="1" x14ac:dyDescent="0.3">
      <c r="A37" s="18"/>
      <c r="B37" s="271" t="s">
        <v>327</v>
      </c>
      <c r="C37" s="272">
        <v>0.38900000000000001</v>
      </c>
      <c r="D37" s="273"/>
    </row>
    <row r="38" spans="1:4" ht="15" customHeight="1" x14ac:dyDescent="0.3">
      <c r="A38" s="18"/>
      <c r="B38" s="271" t="s">
        <v>328</v>
      </c>
      <c r="C38" s="272">
        <v>0.45</v>
      </c>
      <c r="D38" s="273"/>
    </row>
    <row r="39" spans="1:4" ht="15" customHeight="1" x14ac:dyDescent="0.3">
      <c r="A39" s="18"/>
      <c r="B39" s="271" t="s">
        <v>91</v>
      </c>
      <c r="C39" s="272">
        <v>0.223</v>
      </c>
      <c r="D39" s="273"/>
    </row>
    <row r="40" spans="1:4" ht="15" customHeight="1" x14ac:dyDescent="0.3">
      <c r="A40" s="18"/>
      <c r="B40" s="271" t="s">
        <v>329</v>
      </c>
      <c r="C40" s="272">
        <v>0.64600000000000002</v>
      </c>
      <c r="D40" s="273"/>
    </row>
    <row r="41" spans="1:4" ht="15" customHeight="1" x14ac:dyDescent="0.3">
      <c r="A41" s="18"/>
      <c r="B41" s="271" t="s">
        <v>330</v>
      </c>
      <c r="C41" s="272">
        <v>1.014</v>
      </c>
      <c r="D41" s="273"/>
    </row>
    <row r="42" spans="1:4" ht="15" customHeight="1" x14ac:dyDescent="0.3">
      <c r="A42" s="18"/>
      <c r="B42" s="271" t="s">
        <v>331</v>
      </c>
      <c r="C42" s="272">
        <v>0.42899999999999999</v>
      </c>
      <c r="D42" s="273"/>
    </row>
    <row r="43" spans="1:4" ht="15" customHeight="1" x14ac:dyDescent="0.3">
      <c r="A43" s="18"/>
      <c r="B43" s="271" t="s">
        <v>332</v>
      </c>
      <c r="C43" s="272">
        <v>0.22900000000000001</v>
      </c>
      <c r="D43" s="273"/>
    </row>
    <row r="44" spans="1:4" ht="15" customHeight="1" x14ac:dyDescent="0.3">
      <c r="A44" s="18"/>
      <c r="B44" s="271" t="s">
        <v>92</v>
      </c>
      <c r="C44" s="272">
        <v>5.8000000000000003E-2</v>
      </c>
      <c r="D44" s="274">
        <v>2023</v>
      </c>
    </row>
    <row r="45" spans="1:4" ht="15" customHeight="1" x14ac:dyDescent="0.3">
      <c r="A45" s="18"/>
      <c r="B45" s="275" t="s">
        <v>333</v>
      </c>
      <c r="C45" s="272">
        <v>0.54300000000000004</v>
      </c>
      <c r="D45" s="273"/>
    </row>
    <row r="46" spans="1:4" ht="15" customHeight="1" x14ac:dyDescent="0.3">
      <c r="A46" s="18"/>
      <c r="B46" s="271" t="s">
        <v>93</v>
      </c>
      <c r="C46" s="272">
        <v>0.38300000000000001</v>
      </c>
      <c r="D46" s="273"/>
    </row>
    <row r="47" spans="1:4" ht="15" customHeight="1" x14ac:dyDescent="0.3">
      <c r="A47" s="18"/>
      <c r="B47" s="271" t="s">
        <v>334</v>
      </c>
      <c r="C47" s="272">
        <v>7.0999999999999994E-2</v>
      </c>
      <c r="D47" s="273"/>
    </row>
    <row r="48" spans="1:4" ht="15" customHeight="1" x14ac:dyDescent="0.3">
      <c r="A48" s="18"/>
      <c r="B48" s="271" t="s">
        <v>335</v>
      </c>
      <c r="C48" s="272">
        <v>0.46100000000000002</v>
      </c>
      <c r="D48" s="273"/>
    </row>
    <row r="49" spans="1:4" ht="15" customHeight="1" x14ac:dyDescent="0.3">
      <c r="A49" s="18"/>
      <c r="B49" s="271" t="s">
        <v>94</v>
      </c>
      <c r="C49" s="272">
        <v>0.25900000000000001</v>
      </c>
      <c r="D49" s="273"/>
    </row>
    <row r="50" spans="1:4" ht="15" customHeight="1" x14ac:dyDescent="0.3">
      <c r="A50" s="18"/>
      <c r="B50" s="271" t="s">
        <v>161</v>
      </c>
      <c r="C50" s="272">
        <v>0.76200000000000001</v>
      </c>
      <c r="D50" s="273"/>
    </row>
    <row r="51" spans="1:4" ht="15" customHeight="1" x14ac:dyDescent="0.3">
      <c r="A51" s="18"/>
      <c r="B51" s="271" t="s">
        <v>336</v>
      </c>
      <c r="C51" s="272">
        <v>0.71799999999999997</v>
      </c>
      <c r="D51" s="273"/>
    </row>
    <row r="52" spans="1:4" ht="15" customHeight="1" x14ac:dyDescent="0.3">
      <c r="A52" s="18"/>
      <c r="B52" s="275" t="s">
        <v>95</v>
      </c>
      <c r="C52" s="272">
        <v>0.70199999999999996</v>
      </c>
      <c r="D52" s="273"/>
    </row>
    <row r="53" spans="1:4" ht="15" customHeight="1" x14ac:dyDescent="0.3">
      <c r="A53" s="18"/>
      <c r="B53" s="271" t="s">
        <v>96</v>
      </c>
      <c r="C53" s="272">
        <v>0.28599999999999998</v>
      </c>
      <c r="D53" s="273"/>
    </row>
    <row r="54" spans="1:4" ht="15" customHeight="1" x14ac:dyDescent="0.3">
      <c r="A54" s="18"/>
      <c r="B54" s="271" t="s">
        <v>793</v>
      </c>
      <c r="C54" s="272">
        <v>0.53800000000000003</v>
      </c>
      <c r="D54" s="273"/>
    </row>
    <row r="55" spans="1:4" ht="15" customHeight="1" x14ac:dyDescent="0.3">
      <c r="A55" s="18"/>
      <c r="B55" s="271" t="s">
        <v>97</v>
      </c>
      <c r="C55" s="272">
        <v>0.33200000000000002</v>
      </c>
      <c r="D55" s="273"/>
    </row>
    <row r="56" spans="1:4" ht="15" customHeight="1" x14ac:dyDescent="0.3">
      <c r="A56" s="18"/>
      <c r="B56" s="275" t="s">
        <v>98</v>
      </c>
      <c r="C56" s="272">
        <v>0.94199999999999995</v>
      </c>
      <c r="D56" s="273"/>
    </row>
    <row r="57" spans="1:4" ht="15" customHeight="1" x14ac:dyDescent="0.3">
      <c r="A57" s="18"/>
      <c r="B57" s="271" t="s">
        <v>337</v>
      </c>
      <c r="C57" s="272">
        <v>0.317</v>
      </c>
      <c r="D57" s="273"/>
    </row>
    <row r="58" spans="1:4" ht="15" customHeight="1" x14ac:dyDescent="0.3">
      <c r="A58" s="18"/>
      <c r="B58" s="271" t="s">
        <v>338</v>
      </c>
      <c r="C58" s="272">
        <v>2.8000000000000001E-2</v>
      </c>
      <c r="D58" s="273"/>
    </row>
    <row r="59" spans="1:4" ht="15" customHeight="1" x14ac:dyDescent="0.3">
      <c r="A59" s="18"/>
      <c r="B59" s="271" t="s">
        <v>339</v>
      </c>
      <c r="C59" s="272">
        <v>0.91200000000000003</v>
      </c>
      <c r="D59" s="273"/>
    </row>
    <row r="60" spans="1:4" ht="15" customHeight="1" x14ac:dyDescent="0.3">
      <c r="A60" s="18"/>
      <c r="B60" s="271" t="s">
        <v>340</v>
      </c>
      <c r="C60" s="272">
        <v>0.70899999999999996</v>
      </c>
      <c r="D60" s="273"/>
    </row>
    <row r="61" spans="1:4" ht="15" customHeight="1" x14ac:dyDescent="0.3">
      <c r="A61" s="18"/>
      <c r="B61" s="271" t="s">
        <v>341</v>
      </c>
      <c r="C61" s="272">
        <v>1.0029999999999999</v>
      </c>
      <c r="D61" s="273"/>
    </row>
    <row r="62" spans="1:4" ht="15" customHeight="1" x14ac:dyDescent="0.3">
      <c r="A62" s="18"/>
      <c r="B62" s="271" t="s">
        <v>99</v>
      </c>
      <c r="C62" s="272">
        <v>0.45800000000000002</v>
      </c>
      <c r="D62" s="273"/>
    </row>
    <row r="63" spans="1:4" ht="15" customHeight="1" x14ac:dyDescent="0.3">
      <c r="A63" s="18"/>
      <c r="B63" s="271" t="s">
        <v>342</v>
      </c>
      <c r="C63" s="272">
        <v>0.68899999999999995</v>
      </c>
      <c r="D63" s="273"/>
    </row>
    <row r="64" spans="1:4" ht="15" customHeight="1" x14ac:dyDescent="0.3">
      <c r="A64" s="18"/>
      <c r="B64" s="271" t="s">
        <v>343</v>
      </c>
      <c r="C64" s="272">
        <v>0.40600000000000003</v>
      </c>
      <c r="D64" s="273"/>
    </row>
    <row r="65" spans="1:4" ht="15" customHeight="1" x14ac:dyDescent="0.3">
      <c r="A65" s="18"/>
      <c r="B65" s="271" t="s">
        <v>344</v>
      </c>
      <c r="C65" s="272">
        <v>0.44500000000000001</v>
      </c>
      <c r="D65" s="273"/>
    </row>
    <row r="66" spans="1:4" ht="15" customHeight="1" x14ac:dyDescent="0.3">
      <c r="A66" s="18"/>
      <c r="B66" s="271" t="s">
        <v>345</v>
      </c>
      <c r="C66" s="272">
        <v>0.71099999999999997</v>
      </c>
      <c r="D66" s="273"/>
    </row>
    <row r="67" spans="1:4" ht="15" customHeight="1" x14ac:dyDescent="0.3">
      <c r="A67" s="18"/>
      <c r="B67" s="271" t="s">
        <v>346</v>
      </c>
      <c r="C67" s="272">
        <v>0.41599999999999998</v>
      </c>
      <c r="D67" s="273"/>
    </row>
    <row r="68" spans="1:4" ht="15" customHeight="1" x14ac:dyDescent="0.3">
      <c r="A68" s="18"/>
      <c r="B68" s="271" t="s">
        <v>347</v>
      </c>
      <c r="C68" s="272">
        <v>0.56599999999999995</v>
      </c>
      <c r="D68" s="273"/>
    </row>
    <row r="69" spans="1:4" ht="15" customHeight="1" x14ac:dyDescent="0.3">
      <c r="A69" s="18"/>
      <c r="B69" s="271" t="s">
        <v>100</v>
      </c>
      <c r="C69" s="272">
        <v>0.76600000000000001</v>
      </c>
      <c r="D69" s="273"/>
    </row>
    <row r="70" spans="1:4" ht="15" customHeight="1" x14ac:dyDescent="0.3">
      <c r="A70" s="18"/>
      <c r="B70" s="271" t="s">
        <v>101</v>
      </c>
      <c r="C70" s="272">
        <v>0.27400000000000002</v>
      </c>
      <c r="D70" s="273"/>
    </row>
    <row r="71" spans="1:4" ht="15" customHeight="1" x14ac:dyDescent="0.3">
      <c r="A71" s="18"/>
      <c r="B71" s="271" t="s">
        <v>162</v>
      </c>
      <c r="C71" s="272">
        <v>1.2869999999999999</v>
      </c>
      <c r="D71" s="273"/>
    </row>
    <row r="72" spans="1:4" ht="15" customHeight="1" x14ac:dyDescent="0.3">
      <c r="A72" s="18"/>
      <c r="B72" s="271" t="s">
        <v>348</v>
      </c>
      <c r="C72" s="272">
        <v>0.84199999999999997</v>
      </c>
      <c r="D72" s="273"/>
    </row>
    <row r="73" spans="1:4" ht="15" customHeight="1" x14ac:dyDescent="0.3">
      <c r="A73" s="18"/>
      <c r="B73" s="271" t="s">
        <v>349</v>
      </c>
      <c r="C73" s="272">
        <v>9.4E-2</v>
      </c>
      <c r="D73" s="273"/>
    </row>
    <row r="74" spans="1:4" ht="15" customHeight="1" x14ac:dyDescent="0.3">
      <c r="A74" s="18"/>
      <c r="B74" s="271" t="s">
        <v>350</v>
      </c>
      <c r="C74" s="272">
        <v>0.22700000000000001</v>
      </c>
      <c r="D74" s="273"/>
    </row>
    <row r="75" spans="1:4" ht="15" customHeight="1" x14ac:dyDescent="0.3">
      <c r="A75" s="18"/>
      <c r="B75" s="271" t="s">
        <v>351</v>
      </c>
      <c r="C75" s="272">
        <v>0.70899999999999996</v>
      </c>
      <c r="D75" s="273"/>
    </row>
    <row r="76" spans="1:4" ht="15" customHeight="1" x14ac:dyDescent="0.3">
      <c r="A76" s="18"/>
      <c r="B76" s="271" t="s">
        <v>352</v>
      </c>
      <c r="C76" s="272">
        <v>0.88500000000000001</v>
      </c>
      <c r="D76" s="273"/>
    </row>
    <row r="77" spans="1:4" ht="15" customHeight="1" x14ac:dyDescent="0.3">
      <c r="A77" s="18"/>
      <c r="B77" s="271" t="s">
        <v>353</v>
      </c>
      <c r="C77" s="272">
        <v>0.54800000000000004</v>
      </c>
      <c r="D77" s="273"/>
    </row>
    <row r="78" spans="1:4" ht="15" customHeight="1" x14ac:dyDescent="0.3">
      <c r="A78" s="18"/>
      <c r="B78" s="271" t="s">
        <v>163</v>
      </c>
      <c r="C78" s="272">
        <v>0.41</v>
      </c>
      <c r="D78" s="273"/>
    </row>
    <row r="79" spans="1:4" ht="15" customHeight="1" x14ac:dyDescent="0.3">
      <c r="A79" s="18"/>
      <c r="B79" s="271" t="s">
        <v>354</v>
      </c>
      <c r="C79" s="272">
        <v>0.68700000000000006</v>
      </c>
      <c r="D79" s="273"/>
    </row>
    <row r="80" spans="1:4" ht="15" customHeight="1" x14ac:dyDescent="0.3">
      <c r="A80" s="18"/>
      <c r="B80" s="271" t="s">
        <v>355</v>
      </c>
      <c r="C80" s="272">
        <v>0.72699999999999998</v>
      </c>
      <c r="D80" s="273"/>
    </row>
    <row r="81" spans="1:4" ht="15" customHeight="1" x14ac:dyDescent="0.3">
      <c r="A81" s="18"/>
      <c r="B81" s="271" t="s">
        <v>356</v>
      </c>
      <c r="C81" s="272">
        <v>0.872</v>
      </c>
      <c r="D81" s="273"/>
    </row>
    <row r="82" spans="1:4" ht="15" customHeight="1" x14ac:dyDescent="0.3">
      <c r="A82" s="18"/>
      <c r="B82" s="275" t="s">
        <v>102</v>
      </c>
      <c r="C82" s="272">
        <v>0.84</v>
      </c>
      <c r="D82" s="273"/>
    </row>
    <row r="83" spans="1:4" ht="15" customHeight="1" x14ac:dyDescent="0.3">
      <c r="A83" s="18"/>
      <c r="B83" s="275" t="s">
        <v>357</v>
      </c>
      <c r="C83" s="272">
        <v>0.57299999999999995</v>
      </c>
      <c r="D83" s="273"/>
    </row>
    <row r="84" spans="1:4" ht="15" customHeight="1" x14ac:dyDescent="0.3">
      <c r="A84" s="18"/>
      <c r="B84" s="275" t="s">
        <v>103</v>
      </c>
      <c r="C84" s="272">
        <v>0.78</v>
      </c>
      <c r="D84" s="273"/>
    </row>
    <row r="85" spans="1:4" ht="15" customHeight="1" x14ac:dyDescent="0.3">
      <c r="A85" s="18"/>
      <c r="B85" s="271" t="s">
        <v>358</v>
      </c>
      <c r="C85" s="272">
        <v>0.45500000000000002</v>
      </c>
      <c r="D85" s="273"/>
    </row>
    <row r="86" spans="1:4" ht="15" customHeight="1" x14ac:dyDescent="0.3">
      <c r="A86" s="18"/>
      <c r="B86" s="271" t="s">
        <v>359</v>
      </c>
      <c r="C86" s="272">
        <v>0.58299999999999996</v>
      </c>
      <c r="D86" s="273"/>
    </row>
    <row r="87" spans="1:4" ht="15" customHeight="1" x14ac:dyDescent="0.3">
      <c r="A87" s="18"/>
      <c r="B87" s="271" t="s">
        <v>360</v>
      </c>
      <c r="C87" s="272">
        <v>1.492</v>
      </c>
      <c r="D87" s="273"/>
    </row>
    <row r="88" spans="1:4" ht="15" customHeight="1" x14ac:dyDescent="0.3">
      <c r="A88" s="18"/>
      <c r="B88" s="271" t="s">
        <v>361</v>
      </c>
      <c r="C88" s="272">
        <v>0.40500000000000003</v>
      </c>
      <c r="D88" s="273"/>
    </row>
    <row r="89" spans="1:4" ht="15" customHeight="1" x14ac:dyDescent="0.3">
      <c r="A89" s="18"/>
      <c r="B89" s="271" t="s">
        <v>362</v>
      </c>
      <c r="C89" s="272">
        <v>0.71799999999999997</v>
      </c>
      <c r="D89" s="273"/>
    </row>
    <row r="90" spans="1:4" ht="15" customHeight="1" x14ac:dyDescent="0.3">
      <c r="A90" s="18"/>
      <c r="B90" s="271" t="s">
        <v>104</v>
      </c>
      <c r="C90" s="272">
        <v>0.26200000000000001</v>
      </c>
      <c r="D90" s="273"/>
    </row>
    <row r="91" spans="1:4" ht="15" customHeight="1" x14ac:dyDescent="0.3">
      <c r="A91" s="18"/>
      <c r="B91" s="271" t="s">
        <v>363</v>
      </c>
      <c r="C91" s="272">
        <v>0.19700000000000001</v>
      </c>
      <c r="D91" s="273"/>
    </row>
    <row r="92" spans="1:4" ht="15" customHeight="1" x14ac:dyDescent="0.3">
      <c r="A92" s="18"/>
      <c r="B92" s="271" t="s">
        <v>364</v>
      </c>
      <c r="C92" s="272">
        <v>0.41499999999999998</v>
      </c>
      <c r="D92" s="273"/>
    </row>
    <row r="93" spans="1:4" ht="15" customHeight="1" x14ac:dyDescent="0.3">
      <c r="A93" s="18"/>
      <c r="B93" s="271" t="s">
        <v>794</v>
      </c>
      <c r="C93" s="272">
        <v>0.70699999999999996</v>
      </c>
      <c r="D93" s="273"/>
    </row>
    <row r="94" spans="1:4" ht="15" customHeight="1" x14ac:dyDescent="0.3">
      <c r="A94" s="18"/>
      <c r="B94" s="275" t="s">
        <v>365</v>
      </c>
      <c r="C94" s="272">
        <v>0.82099999999999995</v>
      </c>
      <c r="D94" s="273"/>
    </row>
    <row r="95" spans="1:4" ht="15" customHeight="1" x14ac:dyDescent="0.3">
      <c r="A95" s="18"/>
      <c r="B95" s="271" t="s">
        <v>366</v>
      </c>
      <c r="C95" s="272">
        <v>0.15</v>
      </c>
      <c r="D95" s="273"/>
    </row>
    <row r="96" spans="1:4" ht="15" customHeight="1" x14ac:dyDescent="0.3">
      <c r="A96" s="18"/>
      <c r="B96" s="271" t="s">
        <v>105</v>
      </c>
      <c r="C96" s="272">
        <v>0.46</v>
      </c>
      <c r="D96" s="273"/>
    </row>
    <row r="97" spans="1:4" ht="15" customHeight="1" x14ac:dyDescent="0.3">
      <c r="A97" s="18"/>
      <c r="B97" s="271" t="s">
        <v>367</v>
      </c>
      <c r="C97" s="272">
        <v>0.40500000000000003</v>
      </c>
      <c r="D97" s="273"/>
    </row>
    <row r="98" spans="1:4" ht="15" customHeight="1" x14ac:dyDescent="0.3">
      <c r="A98" s="18"/>
      <c r="B98" s="271" t="s">
        <v>368</v>
      </c>
      <c r="C98" s="272">
        <v>0.46500000000000002</v>
      </c>
      <c r="D98" s="273"/>
    </row>
    <row r="99" spans="1:4" ht="15" customHeight="1" x14ac:dyDescent="0.3">
      <c r="A99" s="18"/>
      <c r="B99" s="271" t="s">
        <v>369</v>
      </c>
      <c r="C99" s="272">
        <v>1.7000000000000001E-2</v>
      </c>
      <c r="D99" s="273"/>
    </row>
    <row r="100" spans="1:4" ht="15" customHeight="1" x14ac:dyDescent="0.3">
      <c r="A100" s="18"/>
      <c r="B100" s="271" t="s">
        <v>106</v>
      </c>
      <c r="C100" s="272">
        <v>0.79400000000000004</v>
      </c>
      <c r="D100" s="273"/>
    </row>
    <row r="101" spans="1:4" ht="15" customHeight="1" x14ac:dyDescent="0.3">
      <c r="A101" s="18"/>
      <c r="B101" s="271" t="s">
        <v>107</v>
      </c>
      <c r="C101" s="272">
        <v>0.42499999999999999</v>
      </c>
      <c r="D101" s="273"/>
    </row>
    <row r="102" spans="1:4" ht="15" customHeight="1" x14ac:dyDescent="0.3">
      <c r="A102" s="18"/>
      <c r="B102" s="271" t="s">
        <v>108</v>
      </c>
      <c r="C102" s="272">
        <v>0.29799999999999999</v>
      </c>
      <c r="D102" s="273"/>
    </row>
    <row r="103" spans="1:4" ht="15" customHeight="1" x14ac:dyDescent="0.3">
      <c r="A103" s="18"/>
      <c r="B103" s="271" t="s">
        <v>109</v>
      </c>
      <c r="C103" s="272">
        <v>0</v>
      </c>
      <c r="D103" s="273"/>
    </row>
    <row r="104" spans="1:4" ht="15" customHeight="1" x14ac:dyDescent="0.3">
      <c r="A104" s="18"/>
      <c r="B104" s="271" t="s">
        <v>370</v>
      </c>
      <c r="C104" s="272">
        <v>0.28899999999999998</v>
      </c>
      <c r="D104" s="273"/>
    </row>
    <row r="105" spans="1:4" ht="15" customHeight="1" x14ac:dyDescent="0.3">
      <c r="A105" s="18"/>
      <c r="B105" s="271" t="s">
        <v>110</v>
      </c>
      <c r="C105" s="272">
        <v>0.48099999999999998</v>
      </c>
      <c r="D105" s="273"/>
    </row>
    <row r="106" spans="1:4" ht="15" customHeight="1" x14ac:dyDescent="0.3">
      <c r="A106" s="18"/>
      <c r="B106" s="271" t="s">
        <v>371</v>
      </c>
      <c r="C106" s="272">
        <v>0.78100000000000003</v>
      </c>
      <c r="D106" s="273"/>
    </row>
    <row r="107" spans="1:4" ht="15" customHeight="1" x14ac:dyDescent="0.3">
      <c r="A107" s="18"/>
      <c r="B107" s="271" t="s">
        <v>111</v>
      </c>
      <c r="C107" s="272">
        <v>0.255</v>
      </c>
      <c r="D107" s="273"/>
    </row>
    <row r="108" spans="1:4" ht="15" customHeight="1" x14ac:dyDescent="0.3">
      <c r="A108" s="18"/>
      <c r="B108" s="271" t="s">
        <v>112</v>
      </c>
      <c r="C108" s="272">
        <v>0.49399999999999999</v>
      </c>
      <c r="D108" s="273"/>
    </row>
    <row r="109" spans="1:4" ht="15" customHeight="1" x14ac:dyDescent="0.3">
      <c r="A109" s="18"/>
      <c r="B109" s="271" t="s">
        <v>372</v>
      </c>
      <c r="C109" s="272">
        <v>0.499</v>
      </c>
      <c r="D109" s="273"/>
    </row>
    <row r="110" spans="1:4" ht="15" customHeight="1" x14ac:dyDescent="0.3">
      <c r="A110" s="18"/>
      <c r="B110" s="271" t="s">
        <v>373</v>
      </c>
      <c r="C110" s="272">
        <v>0.63900000000000001</v>
      </c>
      <c r="D110" s="273"/>
    </row>
    <row r="111" spans="1:4" ht="15" customHeight="1" x14ac:dyDescent="0.3">
      <c r="A111" s="18"/>
      <c r="B111" s="271" t="s">
        <v>374</v>
      </c>
      <c r="C111" s="272">
        <v>0.73699999999999999</v>
      </c>
      <c r="D111" s="273"/>
    </row>
    <row r="112" spans="1:4" ht="15" customHeight="1" x14ac:dyDescent="0.3">
      <c r="A112" s="18"/>
      <c r="B112" s="271" t="s">
        <v>375</v>
      </c>
      <c r="C112" s="272">
        <v>0.63700000000000001</v>
      </c>
      <c r="D112" s="273"/>
    </row>
    <row r="113" spans="1:4" ht="15" customHeight="1" x14ac:dyDescent="0.3">
      <c r="A113" s="18"/>
      <c r="B113" s="271" t="s">
        <v>376</v>
      </c>
      <c r="C113" s="272">
        <v>0.72399999999999998</v>
      </c>
      <c r="D113" s="273"/>
    </row>
    <row r="114" spans="1:4" ht="15" customHeight="1" x14ac:dyDescent="0.3">
      <c r="A114" s="18"/>
      <c r="B114" s="271" t="s">
        <v>377</v>
      </c>
      <c r="C114" s="272">
        <v>0.499</v>
      </c>
      <c r="D114" s="273"/>
    </row>
    <row r="115" spans="1:4" ht="15" customHeight="1" x14ac:dyDescent="0.3">
      <c r="A115" s="18"/>
      <c r="B115" s="271" t="s">
        <v>378</v>
      </c>
      <c r="C115" s="272">
        <v>0.19700000000000001</v>
      </c>
      <c r="D115" s="273"/>
    </row>
    <row r="116" spans="1:4" ht="15" customHeight="1" x14ac:dyDescent="0.3">
      <c r="A116" s="18"/>
      <c r="B116" s="271" t="s">
        <v>379</v>
      </c>
      <c r="C116" s="272">
        <v>0.32500000000000001</v>
      </c>
      <c r="D116" s="273"/>
    </row>
    <row r="117" spans="1:4" ht="15" customHeight="1" x14ac:dyDescent="0.3">
      <c r="A117" s="18"/>
      <c r="B117" s="271" t="s">
        <v>380</v>
      </c>
      <c r="C117" s="272">
        <v>0.92700000000000005</v>
      </c>
      <c r="D117" s="273"/>
    </row>
    <row r="118" spans="1:4" ht="15" customHeight="1" x14ac:dyDescent="0.3">
      <c r="A118" s="18"/>
      <c r="B118" s="271" t="s">
        <v>381</v>
      </c>
      <c r="C118" s="272">
        <v>0.53300000000000003</v>
      </c>
      <c r="D118" s="273"/>
    </row>
    <row r="119" spans="1:4" ht="15" customHeight="1" x14ac:dyDescent="0.3">
      <c r="A119" s="18"/>
      <c r="B119" s="271" t="s">
        <v>382</v>
      </c>
      <c r="C119" s="272">
        <v>0.23799999999999999</v>
      </c>
      <c r="D119" s="273"/>
    </row>
    <row r="120" spans="1:4" ht="15" customHeight="1" x14ac:dyDescent="0.3">
      <c r="A120" s="18"/>
      <c r="B120" s="271" t="s">
        <v>113</v>
      </c>
      <c r="C120" s="272">
        <v>0.379</v>
      </c>
      <c r="D120" s="273"/>
    </row>
    <row r="121" spans="1:4" ht="15" customHeight="1" x14ac:dyDescent="0.3">
      <c r="A121" s="18"/>
      <c r="B121" s="271" t="s">
        <v>383</v>
      </c>
      <c r="C121" s="272">
        <v>0.34399999999999997</v>
      </c>
      <c r="D121" s="273"/>
    </row>
    <row r="122" spans="1:4" ht="15" customHeight="1" x14ac:dyDescent="0.3">
      <c r="A122" s="18"/>
      <c r="B122" s="271" t="s">
        <v>384</v>
      </c>
      <c r="C122" s="272">
        <v>0.03</v>
      </c>
      <c r="D122" s="273"/>
    </row>
    <row r="123" spans="1:4" ht="15" customHeight="1" x14ac:dyDescent="0.3">
      <c r="A123" s="18"/>
      <c r="B123" s="271" t="s">
        <v>385</v>
      </c>
      <c r="C123" s="272">
        <v>2.7E-2</v>
      </c>
      <c r="D123" s="273"/>
    </row>
    <row r="124" spans="1:4" ht="15" customHeight="1" x14ac:dyDescent="0.3">
      <c r="A124" s="18"/>
      <c r="B124" s="271" t="s">
        <v>386</v>
      </c>
      <c r="C124" s="272">
        <v>0.59399999999999997</v>
      </c>
      <c r="D124" s="273"/>
    </row>
    <row r="125" spans="1:4" ht="15" customHeight="1" x14ac:dyDescent="0.3">
      <c r="A125" s="18"/>
      <c r="B125" s="271" t="s">
        <v>387</v>
      </c>
      <c r="C125" s="272">
        <v>0.76800000000000002</v>
      </c>
      <c r="D125" s="273"/>
    </row>
    <row r="126" spans="1:4" ht="15" customHeight="1" x14ac:dyDescent="0.3">
      <c r="A126" s="18"/>
      <c r="B126" s="271" t="s">
        <v>388</v>
      </c>
      <c r="C126" s="272">
        <v>2.4E-2</v>
      </c>
      <c r="D126" s="273"/>
    </row>
    <row r="127" spans="1:4" ht="15" customHeight="1" x14ac:dyDescent="0.3">
      <c r="A127" s="18"/>
      <c r="B127" s="271" t="s">
        <v>389</v>
      </c>
      <c r="C127" s="272">
        <v>0.32900000000000001</v>
      </c>
      <c r="D127" s="273"/>
    </row>
    <row r="128" spans="1:4" ht="15" customHeight="1" x14ac:dyDescent="0.3">
      <c r="A128" s="18"/>
      <c r="B128" s="271" t="s">
        <v>390</v>
      </c>
      <c r="C128" s="272">
        <v>0.51300000000000001</v>
      </c>
      <c r="D128" s="273"/>
    </row>
    <row r="129" spans="1:4" ht="15" customHeight="1" x14ac:dyDescent="0.3">
      <c r="A129" s="18"/>
      <c r="B129" s="271" t="s">
        <v>114</v>
      </c>
      <c r="C129" s="272">
        <v>0.19500000000000001</v>
      </c>
      <c r="D129" s="273"/>
    </row>
    <row r="130" spans="1:4" ht="15" customHeight="1" x14ac:dyDescent="0.3">
      <c r="A130" s="18"/>
      <c r="B130" s="271" t="s">
        <v>391</v>
      </c>
      <c r="C130" s="272">
        <v>0.7</v>
      </c>
      <c r="D130" s="273"/>
    </row>
    <row r="131" spans="1:4" ht="15" customHeight="1" x14ac:dyDescent="0.3">
      <c r="A131" s="18"/>
      <c r="B131" s="271" t="s">
        <v>392</v>
      </c>
      <c r="C131" s="272">
        <v>0.46300000000000002</v>
      </c>
      <c r="D131" s="273"/>
    </row>
    <row r="132" spans="1:4" ht="15" customHeight="1" x14ac:dyDescent="0.3">
      <c r="A132" s="18"/>
      <c r="B132" s="271" t="s">
        <v>393</v>
      </c>
      <c r="C132" s="272">
        <v>0.46</v>
      </c>
      <c r="D132" s="273"/>
    </row>
    <row r="133" spans="1:4" ht="15" customHeight="1" x14ac:dyDescent="0.3">
      <c r="A133" s="18"/>
      <c r="B133" s="271" t="s">
        <v>394</v>
      </c>
      <c r="C133" s="272">
        <v>1.8979999999999999</v>
      </c>
      <c r="D133" s="273"/>
    </row>
    <row r="134" spans="1:4" ht="15" customHeight="1" x14ac:dyDescent="0.3">
      <c r="A134" s="18"/>
      <c r="B134" s="271" t="s">
        <v>115</v>
      </c>
      <c r="C134" s="272">
        <v>0.41899999999999998</v>
      </c>
      <c r="D134" s="273"/>
    </row>
    <row r="135" spans="1:4" ht="15" customHeight="1" x14ac:dyDescent="0.3">
      <c r="A135" s="18"/>
      <c r="B135" s="271" t="s">
        <v>395</v>
      </c>
      <c r="C135" s="272">
        <v>0.59799999999999998</v>
      </c>
      <c r="D135" s="273"/>
    </row>
    <row r="136" spans="1:4" ht="15" customHeight="1" x14ac:dyDescent="0.3">
      <c r="A136" s="18"/>
      <c r="B136" s="271" t="s">
        <v>396</v>
      </c>
      <c r="C136" s="272">
        <v>0.45700000000000002</v>
      </c>
      <c r="D136" s="273"/>
    </row>
    <row r="137" spans="1:4" ht="15" customHeight="1" x14ac:dyDescent="0.3">
      <c r="A137" s="18"/>
      <c r="B137" s="271" t="s">
        <v>397</v>
      </c>
      <c r="C137" s="272">
        <v>0.52200000000000002</v>
      </c>
      <c r="D137" s="273"/>
    </row>
    <row r="138" spans="1:4" ht="15" customHeight="1" x14ac:dyDescent="0.3">
      <c r="A138" s="18"/>
      <c r="B138" s="271" t="s">
        <v>116</v>
      </c>
      <c r="C138" s="272">
        <v>8.1000000000000003E-2</v>
      </c>
      <c r="D138" s="273"/>
    </row>
    <row r="139" spans="1:4" ht="15" customHeight="1" x14ac:dyDescent="0.3">
      <c r="A139" s="18"/>
      <c r="B139" s="271" t="s">
        <v>398</v>
      </c>
      <c r="C139" s="272">
        <v>0.73399999999999999</v>
      </c>
      <c r="D139" s="273"/>
    </row>
    <row r="140" spans="1:4" ht="15" customHeight="1" x14ac:dyDescent="0.3">
      <c r="A140" s="18"/>
      <c r="B140" s="271" t="s">
        <v>399</v>
      </c>
      <c r="C140" s="272">
        <v>0.26400000000000001</v>
      </c>
      <c r="D140" s="273"/>
    </row>
    <row r="141" spans="1:4" ht="15" customHeight="1" x14ac:dyDescent="0.3">
      <c r="A141" s="18"/>
      <c r="B141" s="271" t="s">
        <v>400</v>
      </c>
      <c r="C141" s="272">
        <v>0.432</v>
      </c>
      <c r="D141" s="273"/>
    </row>
    <row r="142" spans="1:4" ht="15" customHeight="1" x14ac:dyDescent="0.3">
      <c r="A142" s="18"/>
      <c r="B142" s="271" t="s">
        <v>401</v>
      </c>
      <c r="C142" s="272">
        <v>0.48099999999999998</v>
      </c>
      <c r="D142" s="273"/>
    </row>
    <row r="143" spans="1:4" ht="15" customHeight="1" x14ac:dyDescent="0.3">
      <c r="A143" s="18"/>
      <c r="B143" s="271" t="s">
        <v>402</v>
      </c>
      <c r="C143" s="272">
        <v>0.65500000000000003</v>
      </c>
      <c r="D143" s="273"/>
    </row>
    <row r="144" spans="1:4" ht="15" customHeight="1" x14ac:dyDescent="0.3">
      <c r="A144" s="18"/>
      <c r="B144" s="275" t="s">
        <v>403</v>
      </c>
      <c r="C144" s="272">
        <v>0.66</v>
      </c>
      <c r="D144" s="273"/>
    </row>
    <row r="145" spans="3:3" hidden="1" x14ac:dyDescent="0.3">
      <c r="C145">
        <v>1</v>
      </c>
    </row>
    <row r="146" spans="3:3" hidden="1" x14ac:dyDescent="0.3">
      <c r="C146">
        <v>2</v>
      </c>
    </row>
    <row r="147" spans="3:3" hidden="1" x14ac:dyDescent="0.3">
      <c r="C147">
        <v>3</v>
      </c>
    </row>
    <row r="148" spans="3:3" hidden="1" x14ac:dyDescent="0.3">
      <c r="C148">
        <v>4</v>
      </c>
    </row>
    <row r="149" spans="3:3" hidden="1" x14ac:dyDescent="0.3">
      <c r="C149">
        <v>5</v>
      </c>
    </row>
    <row r="150" spans="3:3" hidden="1" x14ac:dyDescent="0.3">
      <c r="C150">
        <v>6</v>
      </c>
    </row>
    <row r="151" spans="3:3" hidden="1" x14ac:dyDescent="0.3">
      <c r="C151">
        <v>7</v>
      </c>
    </row>
    <row r="152" spans="3:3" hidden="1" x14ac:dyDescent="0.3">
      <c r="C152">
        <v>8</v>
      </c>
    </row>
    <row r="153" spans="3:3" hidden="1" x14ac:dyDescent="0.3">
      <c r="C153">
        <v>9</v>
      </c>
    </row>
    <row r="154" spans="3:3" hidden="1" x14ac:dyDescent="0.3">
      <c r="C154">
        <v>10</v>
      </c>
    </row>
  </sheetData>
  <phoneticPr fontId="12" type="noConversion"/>
  <hyperlinks>
    <hyperlink ref="B2" r:id="rId1" display="https://www.bilans-ges.ademe.fr/documentation/UPLOAD_DOC_FR/index.htm?moyenne_par_pays.htm" xr:uid="{054BE269-2302-4BB5-802A-0B17BB03FFCE}"/>
  </hyperlinks>
  <pageMargins left="0.7" right="0.7" top="0.75" bottom="0.75" header="0.3" footer="0.3"/>
  <pageSetup paperSize="9"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B2643-A502-4501-9B4E-52F074A37008}">
  <dimension ref="A1:C89"/>
  <sheetViews>
    <sheetView showGridLines="0" zoomScale="116" zoomScaleNormal="71" workbookViewId="0">
      <selection activeCell="C12" sqref="C12"/>
    </sheetView>
  </sheetViews>
  <sheetFormatPr baseColWidth="10" defaultColWidth="11.4140625" defaultRowHeight="14" x14ac:dyDescent="0.3"/>
  <cols>
    <col min="1" max="1" width="15.25" customWidth="1"/>
    <col min="2" max="2" width="14.6640625" bestFit="1" customWidth="1"/>
    <col min="3" max="3" width="204.4140625" customWidth="1"/>
  </cols>
  <sheetData>
    <row r="1" spans="1:3" x14ac:dyDescent="0.3">
      <c r="A1" s="324" t="s">
        <v>786</v>
      </c>
      <c r="B1" s="324"/>
      <c r="C1" s="324"/>
    </row>
    <row r="2" spans="1:3" x14ac:dyDescent="0.3">
      <c r="A2" s="247" t="s">
        <v>417</v>
      </c>
    </row>
    <row r="3" spans="1:3" x14ac:dyDescent="0.3">
      <c r="A3" t="s">
        <v>0</v>
      </c>
    </row>
    <row r="4" spans="1:3" x14ac:dyDescent="0.3">
      <c r="A4" t="s">
        <v>1</v>
      </c>
    </row>
    <row r="5" spans="1:3" x14ac:dyDescent="0.3">
      <c r="A5" t="s">
        <v>2</v>
      </c>
    </row>
    <row r="6" spans="1:3" x14ac:dyDescent="0.3">
      <c r="A6" t="s">
        <v>3</v>
      </c>
    </row>
    <row r="7" spans="1:3" x14ac:dyDescent="0.3">
      <c r="A7" t="s">
        <v>4</v>
      </c>
    </row>
    <row r="8" spans="1:3" x14ac:dyDescent="0.3">
      <c r="A8" t="s">
        <v>5</v>
      </c>
    </row>
    <row r="9" spans="1:3" x14ac:dyDescent="0.3">
      <c r="A9" t="s">
        <v>6</v>
      </c>
    </row>
    <row r="10" spans="1:3" x14ac:dyDescent="0.3">
      <c r="A10" t="s">
        <v>7</v>
      </c>
    </row>
    <row r="11" spans="1:3" x14ac:dyDescent="0.3">
      <c r="A11" t="s">
        <v>8</v>
      </c>
    </row>
    <row r="12" spans="1:3" x14ac:dyDescent="0.3">
      <c r="A12" t="s">
        <v>9</v>
      </c>
    </row>
    <row r="13" spans="1:3" x14ac:dyDescent="0.3">
      <c r="A13" t="s">
        <v>10</v>
      </c>
    </row>
    <row r="14" spans="1:3" x14ac:dyDescent="0.3">
      <c r="A14" t="s">
        <v>11</v>
      </c>
    </row>
    <row r="15" spans="1:3" x14ac:dyDescent="0.3">
      <c r="A15" t="s">
        <v>12</v>
      </c>
    </row>
    <row r="16" spans="1:3" x14ac:dyDescent="0.3">
      <c r="A16" t="s">
        <v>13</v>
      </c>
    </row>
    <row r="19" spans="1:3" ht="27" customHeight="1" x14ac:dyDescent="0.3">
      <c r="A19" s="248" t="s">
        <v>298</v>
      </c>
      <c r="B19" s="248" t="s">
        <v>299</v>
      </c>
      <c r="C19" s="248" t="s">
        <v>774</v>
      </c>
    </row>
    <row r="20" spans="1:3" ht="15" customHeight="1" x14ac:dyDescent="0.3">
      <c r="A20" s="249" t="s">
        <v>14</v>
      </c>
      <c r="B20" s="25" t="s">
        <v>0</v>
      </c>
      <c r="C20" s="240" t="s">
        <v>233</v>
      </c>
    </row>
    <row r="21" spans="1:3" ht="15" customHeight="1" x14ac:dyDescent="0.3">
      <c r="A21" s="249" t="s">
        <v>15</v>
      </c>
      <c r="B21" s="25" t="s">
        <v>1</v>
      </c>
      <c r="C21" s="240" t="s">
        <v>234</v>
      </c>
    </row>
    <row r="22" spans="1:3" ht="15" customHeight="1" x14ac:dyDescent="0.3">
      <c r="A22" s="249" t="s">
        <v>16</v>
      </c>
      <c r="B22" s="25" t="s">
        <v>1</v>
      </c>
      <c r="C22" s="240" t="s">
        <v>235</v>
      </c>
    </row>
    <row r="23" spans="1:3" ht="15" customHeight="1" x14ac:dyDescent="0.3">
      <c r="A23" s="249" t="s">
        <v>17</v>
      </c>
      <c r="B23" s="25" t="s">
        <v>1</v>
      </c>
      <c r="C23" s="240" t="s">
        <v>236</v>
      </c>
    </row>
    <row r="24" spans="1:3" ht="15" customHeight="1" x14ac:dyDescent="0.3">
      <c r="A24" s="249" t="s">
        <v>18</v>
      </c>
      <c r="B24" s="25" t="s">
        <v>2</v>
      </c>
      <c r="C24" s="250" t="s">
        <v>237</v>
      </c>
    </row>
    <row r="25" spans="1:3" ht="15" customHeight="1" x14ac:dyDescent="0.3">
      <c r="A25" s="249" t="s">
        <v>19</v>
      </c>
      <c r="B25" s="25" t="s">
        <v>2</v>
      </c>
      <c r="C25" s="240" t="s">
        <v>238</v>
      </c>
    </row>
    <row r="26" spans="1:3" ht="15" customHeight="1" x14ac:dyDescent="0.3">
      <c r="A26" s="249" t="s">
        <v>20</v>
      </c>
      <c r="B26" s="25" t="s">
        <v>2</v>
      </c>
      <c r="C26" s="240" t="s">
        <v>712</v>
      </c>
    </row>
    <row r="27" spans="1:3" ht="15" customHeight="1" x14ac:dyDescent="0.3">
      <c r="A27" s="249" t="s">
        <v>21</v>
      </c>
      <c r="B27" s="25" t="s">
        <v>2</v>
      </c>
      <c r="C27" s="240" t="s">
        <v>713</v>
      </c>
    </row>
    <row r="28" spans="1:3" ht="15" customHeight="1" x14ac:dyDescent="0.3">
      <c r="A28" s="249" t="s">
        <v>22</v>
      </c>
      <c r="B28" s="25" t="s">
        <v>3</v>
      </c>
      <c r="C28" s="240" t="s">
        <v>239</v>
      </c>
    </row>
    <row r="29" spans="1:3" ht="15" customHeight="1" x14ac:dyDescent="0.3">
      <c r="A29" s="249" t="s">
        <v>23</v>
      </c>
      <c r="B29" s="25" t="s">
        <v>3</v>
      </c>
      <c r="C29" s="240" t="s">
        <v>240</v>
      </c>
    </row>
    <row r="30" spans="1:3" ht="15" customHeight="1" x14ac:dyDescent="0.3">
      <c r="A30" s="249" t="s">
        <v>24</v>
      </c>
      <c r="B30" s="25" t="s">
        <v>3</v>
      </c>
      <c r="C30" s="240" t="s">
        <v>241</v>
      </c>
    </row>
    <row r="31" spans="1:3" ht="15" customHeight="1" x14ac:dyDescent="0.3">
      <c r="A31" s="249" t="s">
        <v>25</v>
      </c>
      <c r="B31" s="25" t="s">
        <v>3</v>
      </c>
      <c r="C31" s="240" t="s">
        <v>242</v>
      </c>
    </row>
    <row r="32" spans="1:3" ht="15" customHeight="1" x14ac:dyDescent="0.3">
      <c r="A32" s="249" t="s">
        <v>26</v>
      </c>
      <c r="B32" s="25" t="s">
        <v>3</v>
      </c>
      <c r="C32" s="240" t="s">
        <v>243</v>
      </c>
    </row>
    <row r="33" spans="1:3" ht="15" customHeight="1" x14ac:dyDescent="0.3">
      <c r="A33" s="249" t="s">
        <v>27</v>
      </c>
      <c r="B33" s="25" t="s">
        <v>3</v>
      </c>
      <c r="C33" s="240" t="s">
        <v>244</v>
      </c>
    </row>
    <row r="34" spans="1:3" ht="15" customHeight="1" x14ac:dyDescent="0.3">
      <c r="A34" s="249" t="s">
        <v>28</v>
      </c>
      <c r="B34" s="25" t="s">
        <v>3</v>
      </c>
      <c r="C34" s="240" t="s">
        <v>245</v>
      </c>
    </row>
    <row r="35" spans="1:3" ht="15" customHeight="1" x14ac:dyDescent="0.3">
      <c r="A35" s="249" t="s">
        <v>29</v>
      </c>
      <c r="B35" s="25" t="s">
        <v>3</v>
      </c>
      <c r="C35" s="240" t="s">
        <v>246</v>
      </c>
    </row>
    <row r="36" spans="1:3" ht="15" customHeight="1" x14ac:dyDescent="0.3">
      <c r="A36" s="249" t="s">
        <v>30</v>
      </c>
      <c r="B36" s="25" t="s">
        <v>3</v>
      </c>
      <c r="C36" s="240" t="s">
        <v>247</v>
      </c>
    </row>
    <row r="37" spans="1:3" ht="15" customHeight="1" x14ac:dyDescent="0.3">
      <c r="A37" s="249" t="s">
        <v>31</v>
      </c>
      <c r="B37" s="25" t="s">
        <v>4</v>
      </c>
      <c r="C37" s="240" t="s">
        <v>248</v>
      </c>
    </row>
    <row r="38" spans="1:3" ht="15" customHeight="1" x14ac:dyDescent="0.3">
      <c r="A38" s="249" t="s">
        <v>32</v>
      </c>
      <c r="B38" s="25" t="s">
        <v>4</v>
      </c>
      <c r="C38" s="240" t="s">
        <v>702</v>
      </c>
    </row>
    <row r="39" spans="1:3" ht="15" customHeight="1" x14ac:dyDescent="0.3">
      <c r="A39" s="249" t="s">
        <v>33</v>
      </c>
      <c r="B39" s="25" t="s">
        <v>4</v>
      </c>
      <c r="C39" s="240" t="s">
        <v>703</v>
      </c>
    </row>
    <row r="40" spans="1:3" ht="15" customHeight="1" x14ac:dyDescent="0.3">
      <c r="A40" s="249" t="s">
        <v>34</v>
      </c>
      <c r="B40" s="25" t="s">
        <v>4</v>
      </c>
      <c r="C40" s="240" t="s">
        <v>249</v>
      </c>
    </row>
    <row r="41" spans="1:3" ht="15" customHeight="1" x14ac:dyDescent="0.3">
      <c r="A41" s="249" t="s">
        <v>35</v>
      </c>
      <c r="B41" s="25" t="s">
        <v>4</v>
      </c>
      <c r="C41" s="240" t="s">
        <v>250</v>
      </c>
    </row>
    <row r="42" spans="1:3" ht="15" customHeight="1" x14ac:dyDescent="0.3">
      <c r="A42" s="249" t="s">
        <v>36</v>
      </c>
      <c r="B42" s="25" t="s">
        <v>4</v>
      </c>
      <c r="C42" s="240" t="s">
        <v>251</v>
      </c>
    </row>
    <row r="43" spans="1:3" ht="15" customHeight="1" x14ac:dyDescent="0.3">
      <c r="A43" s="249" t="s">
        <v>37</v>
      </c>
      <c r="B43" s="25" t="s">
        <v>4</v>
      </c>
      <c r="C43" s="240" t="s">
        <v>252</v>
      </c>
    </row>
    <row r="44" spans="1:3" ht="15" customHeight="1" x14ac:dyDescent="0.3">
      <c r="A44" s="249" t="s">
        <v>38</v>
      </c>
      <c r="B44" s="25" t="s">
        <v>4</v>
      </c>
      <c r="C44" s="240" t="s">
        <v>253</v>
      </c>
    </row>
    <row r="45" spans="1:3" ht="15" customHeight="1" x14ac:dyDescent="0.3">
      <c r="A45" s="249" t="s">
        <v>39</v>
      </c>
      <c r="B45" s="25" t="s">
        <v>5</v>
      </c>
      <c r="C45" s="240" t="s">
        <v>254</v>
      </c>
    </row>
    <row r="46" spans="1:3" ht="15" customHeight="1" x14ac:dyDescent="0.3">
      <c r="A46" s="249" t="s">
        <v>40</v>
      </c>
      <c r="B46" s="25" t="s">
        <v>5</v>
      </c>
      <c r="C46" s="240" t="s">
        <v>255</v>
      </c>
    </row>
    <row r="47" spans="1:3" ht="15" customHeight="1" x14ac:dyDescent="0.3">
      <c r="A47" s="249" t="s">
        <v>41</v>
      </c>
      <c r="B47" s="25" t="s">
        <v>5</v>
      </c>
      <c r="C47" s="240" t="s">
        <v>256</v>
      </c>
    </row>
    <row r="48" spans="1:3" ht="15" customHeight="1" x14ac:dyDescent="0.3">
      <c r="A48" s="249" t="s">
        <v>42</v>
      </c>
      <c r="B48" s="25" t="s">
        <v>5</v>
      </c>
      <c r="C48" s="240" t="s">
        <v>257</v>
      </c>
    </row>
    <row r="49" spans="1:3" ht="15" customHeight="1" x14ac:dyDescent="0.3">
      <c r="A49" s="249" t="s">
        <v>43</v>
      </c>
      <c r="B49" s="25" t="s">
        <v>5</v>
      </c>
      <c r="C49" s="240" t="s">
        <v>258</v>
      </c>
    </row>
    <row r="50" spans="1:3" ht="15" customHeight="1" x14ac:dyDescent="0.3">
      <c r="A50" s="249" t="s">
        <v>44</v>
      </c>
      <c r="B50" s="25" t="s">
        <v>5</v>
      </c>
      <c r="C50" s="240" t="s">
        <v>259</v>
      </c>
    </row>
    <row r="51" spans="1:3" ht="15" customHeight="1" x14ac:dyDescent="0.3">
      <c r="A51" s="249" t="s">
        <v>45</v>
      </c>
      <c r="B51" s="25" t="s">
        <v>5</v>
      </c>
      <c r="C51" s="240" t="s">
        <v>260</v>
      </c>
    </row>
    <row r="52" spans="1:3" ht="15" customHeight="1" x14ac:dyDescent="0.3">
      <c r="A52" s="249" t="s">
        <v>46</v>
      </c>
      <c r="B52" s="25" t="s">
        <v>5</v>
      </c>
      <c r="C52" s="240" t="s">
        <v>261</v>
      </c>
    </row>
    <row r="53" spans="1:3" ht="15" customHeight="1" x14ac:dyDescent="0.3">
      <c r="A53" s="249" t="s">
        <v>47</v>
      </c>
      <c r="B53" s="25" t="s">
        <v>6</v>
      </c>
      <c r="C53" s="240" t="s">
        <v>262</v>
      </c>
    </row>
    <row r="54" spans="1:3" ht="15" customHeight="1" x14ac:dyDescent="0.3">
      <c r="A54" s="249" t="s">
        <v>48</v>
      </c>
      <c r="B54" s="25" t="s">
        <v>6</v>
      </c>
      <c r="C54" s="240" t="s">
        <v>263</v>
      </c>
    </row>
    <row r="55" spans="1:3" ht="15" customHeight="1" x14ac:dyDescent="0.3">
      <c r="A55" s="249" t="s">
        <v>49</v>
      </c>
      <c r="B55" s="25" t="s">
        <v>6</v>
      </c>
      <c r="C55" s="240" t="s">
        <v>264</v>
      </c>
    </row>
    <row r="56" spans="1:3" ht="15" customHeight="1" x14ac:dyDescent="0.3">
      <c r="A56" s="249" t="s">
        <v>50</v>
      </c>
      <c r="B56" s="25" t="s">
        <v>7</v>
      </c>
      <c r="C56" s="240" t="s">
        <v>265</v>
      </c>
    </row>
    <row r="57" spans="1:3" ht="15" customHeight="1" x14ac:dyDescent="0.3">
      <c r="A57" s="249" t="s">
        <v>51</v>
      </c>
      <c r="B57" s="25" t="s">
        <v>7</v>
      </c>
      <c r="C57" s="240" t="s">
        <v>266</v>
      </c>
    </row>
    <row r="58" spans="1:3" ht="15" customHeight="1" x14ac:dyDescent="0.3">
      <c r="A58" s="249" t="s">
        <v>52</v>
      </c>
      <c r="B58" s="25" t="s">
        <v>8</v>
      </c>
      <c r="C58" s="240" t="s">
        <v>267</v>
      </c>
    </row>
    <row r="59" spans="1:3" ht="15" customHeight="1" x14ac:dyDescent="0.3">
      <c r="A59" s="249" t="s">
        <v>53</v>
      </c>
      <c r="B59" s="25" t="s">
        <v>8</v>
      </c>
      <c r="C59" s="240" t="s">
        <v>268</v>
      </c>
    </row>
    <row r="60" spans="1:3" ht="15" customHeight="1" x14ac:dyDescent="0.3">
      <c r="A60" s="249" t="s">
        <v>54</v>
      </c>
      <c r="B60" s="25" t="s">
        <v>8</v>
      </c>
      <c r="C60" s="240" t="s">
        <v>269</v>
      </c>
    </row>
    <row r="61" spans="1:3" ht="15" customHeight="1" x14ac:dyDescent="0.3">
      <c r="A61" s="249" t="s">
        <v>55</v>
      </c>
      <c r="B61" s="25" t="s">
        <v>9</v>
      </c>
      <c r="C61" s="240" t="s">
        <v>714</v>
      </c>
    </row>
    <row r="62" spans="1:3" ht="15" customHeight="1" x14ac:dyDescent="0.3">
      <c r="A62" s="249" t="s">
        <v>56</v>
      </c>
      <c r="B62" s="25" t="s">
        <v>9</v>
      </c>
      <c r="C62" s="240" t="s">
        <v>270</v>
      </c>
    </row>
    <row r="63" spans="1:3" ht="15" customHeight="1" x14ac:dyDescent="0.3">
      <c r="A63" s="249" t="s">
        <v>57</v>
      </c>
      <c r="B63" s="25" t="s">
        <v>9</v>
      </c>
      <c r="C63" s="240" t="s">
        <v>271</v>
      </c>
    </row>
    <row r="64" spans="1:3" ht="15" customHeight="1" x14ac:dyDescent="0.3">
      <c r="A64" s="249" t="s">
        <v>58</v>
      </c>
      <c r="B64" s="25" t="s">
        <v>9</v>
      </c>
      <c r="C64" s="240" t="s">
        <v>272</v>
      </c>
    </row>
    <row r="65" spans="1:3" ht="15" customHeight="1" x14ac:dyDescent="0.3">
      <c r="A65" s="249" t="s">
        <v>59</v>
      </c>
      <c r="B65" s="25" t="s">
        <v>9</v>
      </c>
      <c r="C65" s="240" t="s">
        <v>273</v>
      </c>
    </row>
    <row r="66" spans="1:3" ht="15" customHeight="1" x14ac:dyDescent="0.3">
      <c r="A66" s="249" t="s">
        <v>60</v>
      </c>
      <c r="B66" s="25" t="s">
        <v>9</v>
      </c>
      <c r="C66" s="240" t="s">
        <v>274</v>
      </c>
    </row>
    <row r="67" spans="1:3" ht="15" customHeight="1" x14ac:dyDescent="0.3">
      <c r="A67" s="249" t="s">
        <v>61</v>
      </c>
      <c r="B67" s="25" t="s">
        <v>9</v>
      </c>
      <c r="C67" s="240" t="s">
        <v>275</v>
      </c>
    </row>
    <row r="68" spans="1:3" ht="15" customHeight="1" x14ac:dyDescent="0.3">
      <c r="A68" s="249" t="s">
        <v>62</v>
      </c>
      <c r="B68" s="25" t="s">
        <v>9</v>
      </c>
      <c r="C68" s="240" t="s">
        <v>276</v>
      </c>
    </row>
    <row r="69" spans="1:3" ht="15" customHeight="1" x14ac:dyDescent="0.3">
      <c r="A69" s="249" t="s">
        <v>63</v>
      </c>
      <c r="B69" s="25" t="s">
        <v>9</v>
      </c>
      <c r="C69" s="240" t="s">
        <v>277</v>
      </c>
    </row>
    <row r="70" spans="1:3" ht="15" customHeight="1" x14ac:dyDescent="0.3">
      <c r="A70" s="249" t="s">
        <v>64</v>
      </c>
      <c r="B70" s="25" t="s">
        <v>9</v>
      </c>
      <c r="C70" s="240" t="s">
        <v>278</v>
      </c>
    </row>
    <row r="71" spans="1:3" ht="15" customHeight="1" x14ac:dyDescent="0.3">
      <c r="A71" s="249" t="s">
        <v>65</v>
      </c>
      <c r="B71" s="25" t="s">
        <v>9</v>
      </c>
      <c r="C71" s="240" t="s">
        <v>279</v>
      </c>
    </row>
    <row r="72" spans="1:3" ht="15" customHeight="1" x14ac:dyDescent="0.3">
      <c r="A72" s="249" t="s">
        <v>66</v>
      </c>
      <c r="B72" s="25" t="s">
        <v>9</v>
      </c>
      <c r="C72" s="240" t="s">
        <v>280</v>
      </c>
    </row>
    <row r="73" spans="1:3" ht="15" customHeight="1" x14ac:dyDescent="0.3">
      <c r="A73" s="249" t="s">
        <v>67</v>
      </c>
      <c r="B73" s="25" t="s">
        <v>10</v>
      </c>
      <c r="C73" s="240" t="s">
        <v>281</v>
      </c>
    </row>
    <row r="74" spans="1:3" ht="15" customHeight="1" x14ac:dyDescent="0.3">
      <c r="A74" s="249" t="s">
        <v>68</v>
      </c>
      <c r="B74" s="25" t="s">
        <v>10</v>
      </c>
      <c r="C74" s="240" t="s">
        <v>282</v>
      </c>
    </row>
    <row r="75" spans="1:3" ht="15" customHeight="1" x14ac:dyDescent="0.3">
      <c r="A75" s="249" t="s">
        <v>69</v>
      </c>
      <c r="B75" s="25" t="s">
        <v>10</v>
      </c>
      <c r="C75" s="240" t="s">
        <v>283</v>
      </c>
    </row>
    <row r="76" spans="1:3" ht="15" customHeight="1" x14ac:dyDescent="0.3">
      <c r="A76" s="249" t="s">
        <v>70</v>
      </c>
      <c r="B76" s="25" t="s">
        <v>10</v>
      </c>
      <c r="C76" s="240" t="s">
        <v>284</v>
      </c>
    </row>
    <row r="77" spans="1:3" ht="15" customHeight="1" x14ac:dyDescent="0.3">
      <c r="A77" s="249" t="s">
        <v>71</v>
      </c>
      <c r="B77" s="25" t="s">
        <v>10</v>
      </c>
      <c r="C77" s="240" t="s">
        <v>285</v>
      </c>
    </row>
    <row r="78" spans="1:3" ht="15" customHeight="1" x14ac:dyDescent="0.3">
      <c r="A78" s="249" t="s">
        <v>72</v>
      </c>
      <c r="B78" s="25" t="s">
        <v>10</v>
      </c>
      <c r="C78" s="240" t="s">
        <v>286</v>
      </c>
    </row>
    <row r="79" spans="1:3" ht="15" customHeight="1" x14ac:dyDescent="0.3">
      <c r="A79" s="249" t="s">
        <v>73</v>
      </c>
      <c r="B79" s="25" t="s">
        <v>10</v>
      </c>
      <c r="C79" s="240" t="s">
        <v>287</v>
      </c>
    </row>
    <row r="80" spans="1:3" ht="15" customHeight="1" x14ac:dyDescent="0.3">
      <c r="A80" s="249" t="s">
        <v>74</v>
      </c>
      <c r="B80" s="25" t="s">
        <v>10</v>
      </c>
      <c r="C80" s="240" t="s">
        <v>288</v>
      </c>
    </row>
    <row r="81" spans="1:3" ht="15" customHeight="1" x14ac:dyDescent="0.3">
      <c r="A81" s="249" t="s">
        <v>75</v>
      </c>
      <c r="B81" s="25" t="s">
        <v>10</v>
      </c>
      <c r="C81" s="240" t="s">
        <v>289</v>
      </c>
    </row>
    <row r="82" spans="1:3" ht="15" customHeight="1" x14ac:dyDescent="0.3">
      <c r="A82" s="249" t="s">
        <v>76</v>
      </c>
      <c r="B82" s="25" t="s">
        <v>10</v>
      </c>
      <c r="C82" s="240" t="s">
        <v>290</v>
      </c>
    </row>
    <row r="83" spans="1:3" ht="15" customHeight="1" x14ac:dyDescent="0.3">
      <c r="A83" s="249" t="s">
        <v>77</v>
      </c>
      <c r="B83" s="25" t="s">
        <v>10</v>
      </c>
      <c r="C83" s="240" t="s">
        <v>291</v>
      </c>
    </row>
    <row r="84" spans="1:3" ht="15" customHeight="1" x14ac:dyDescent="0.3">
      <c r="A84" s="249" t="s">
        <v>78</v>
      </c>
      <c r="B84" s="25" t="s">
        <v>11</v>
      </c>
      <c r="C84" s="240" t="s">
        <v>292</v>
      </c>
    </row>
    <row r="85" spans="1:3" ht="15" customHeight="1" x14ac:dyDescent="0.3">
      <c r="A85" s="249" t="s">
        <v>79</v>
      </c>
      <c r="B85" s="25" t="s">
        <v>12</v>
      </c>
      <c r="C85" s="240" t="s">
        <v>293</v>
      </c>
    </row>
    <row r="86" spans="1:3" ht="15" customHeight="1" x14ac:dyDescent="0.3">
      <c r="A86" s="249" t="s">
        <v>80</v>
      </c>
      <c r="B86" s="25" t="s">
        <v>12</v>
      </c>
      <c r="C86" s="240" t="s">
        <v>294</v>
      </c>
    </row>
    <row r="87" spans="1:3" ht="15" customHeight="1" x14ac:dyDescent="0.3">
      <c r="A87" s="249" t="s">
        <v>81</v>
      </c>
      <c r="B87" s="25" t="s">
        <v>12</v>
      </c>
      <c r="C87" s="240" t="s">
        <v>295</v>
      </c>
    </row>
    <row r="88" spans="1:3" ht="15" customHeight="1" x14ac:dyDescent="0.3">
      <c r="A88" s="249" t="s">
        <v>82</v>
      </c>
      <c r="B88" s="25" t="s">
        <v>12</v>
      </c>
      <c r="C88" s="240" t="s">
        <v>296</v>
      </c>
    </row>
    <row r="89" spans="1:3" ht="15" customHeight="1" x14ac:dyDescent="0.3">
      <c r="A89" s="251" t="s">
        <v>83</v>
      </c>
      <c r="B89" s="245" t="s">
        <v>13</v>
      </c>
      <c r="C89" s="252" t="s">
        <v>297</v>
      </c>
    </row>
  </sheetData>
  <mergeCells count="1">
    <mergeCell ref="A1:C1"/>
  </mergeCells>
  <pageMargins left="0.7" right="0.7" top="0.75" bottom="0.75" header="0.3" footer="0.3"/>
  <tableParts count="2">
    <tablePart r:id="rId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D2FC-D208-4379-9F43-567D985C1874}">
  <sheetPr>
    <tabColor theme="8"/>
  </sheetPr>
  <dimension ref="B2:V137"/>
  <sheetViews>
    <sheetView showGridLines="0" topLeftCell="A88" zoomScale="71" zoomScaleNormal="115" workbookViewId="0">
      <selection activeCell="L131" sqref="L131"/>
    </sheetView>
  </sheetViews>
  <sheetFormatPr baseColWidth="10" defaultColWidth="11.4140625" defaultRowHeight="14" x14ac:dyDescent="0.3"/>
  <cols>
    <col min="1" max="1" width="11.4140625" style="3" customWidth="1"/>
    <col min="2" max="2" width="12.1640625" style="3" customWidth="1"/>
    <col min="3" max="3" width="95.9140625" style="5" customWidth="1"/>
    <col min="4" max="4" width="53.9140625" style="3" customWidth="1"/>
    <col min="5" max="5" width="53.5" style="5" customWidth="1"/>
    <col min="6" max="6" width="50.1640625" style="5" customWidth="1"/>
    <col min="7" max="7" width="26.4140625" style="3" customWidth="1"/>
    <col min="8" max="8" width="61.75" style="3" customWidth="1"/>
    <col min="9" max="9" width="67.83203125" style="3" customWidth="1"/>
    <col min="10" max="10" width="71.75" style="3" customWidth="1"/>
    <col min="11" max="11" width="57.1640625" style="3" customWidth="1"/>
    <col min="12" max="12" width="35.4140625" style="3" customWidth="1"/>
    <col min="13" max="13" width="47.1640625" style="3" customWidth="1"/>
    <col min="14" max="14" width="23.4140625" style="3" customWidth="1"/>
    <col min="15" max="15" width="28.5" style="3" customWidth="1"/>
    <col min="16" max="16" width="30.75" style="3" customWidth="1"/>
    <col min="17" max="17" width="70.4140625" style="3" customWidth="1"/>
    <col min="18" max="18" width="21.4140625" style="3" customWidth="1"/>
    <col min="19" max="19" width="27.75" style="3" customWidth="1"/>
    <col min="20" max="16384" width="11.4140625" style="3"/>
  </cols>
  <sheetData>
    <row r="2" spans="2:12" ht="14.9" customHeight="1" x14ac:dyDescent="0.3">
      <c r="B2" s="336" t="s">
        <v>525</v>
      </c>
      <c r="C2" s="336"/>
      <c r="D2" s="336"/>
      <c r="E2" s="336"/>
      <c r="F2" s="336"/>
      <c r="G2" s="336"/>
      <c r="H2" s="336"/>
      <c r="I2" s="336"/>
      <c r="J2" s="336"/>
      <c r="K2" s="336"/>
    </row>
    <row r="3" spans="2:12" ht="14.15" customHeight="1" x14ac:dyDescent="0.3">
      <c r="B3" s="336"/>
      <c r="C3" s="336"/>
      <c r="D3" s="336"/>
      <c r="E3" s="336"/>
      <c r="F3" s="336"/>
      <c r="G3" s="336"/>
      <c r="H3" s="336"/>
      <c r="I3" s="336"/>
      <c r="J3" s="336"/>
      <c r="K3" s="336"/>
    </row>
    <row r="4" spans="2:12" ht="14.9" customHeight="1" x14ac:dyDescent="0.3"/>
    <row r="5" spans="2:12" x14ac:dyDescent="0.3">
      <c r="L5"/>
    </row>
    <row r="6" spans="2:12" x14ac:dyDescent="0.3">
      <c r="C6" s="56" t="s">
        <v>526</v>
      </c>
      <c r="D6" s="57"/>
      <c r="E6" s="57"/>
      <c r="F6" s="57"/>
      <c r="G6" s="57"/>
      <c r="H6" s="57"/>
      <c r="I6" s="57"/>
      <c r="J6" s="57"/>
      <c r="K6" s="57"/>
      <c r="L6"/>
    </row>
    <row r="7" spans="2:12" x14ac:dyDescent="0.3">
      <c r="C7" s="6" t="s">
        <v>527</v>
      </c>
      <c r="D7" s="6" t="s">
        <v>155</v>
      </c>
      <c r="E7" s="6" t="s">
        <v>535</v>
      </c>
      <c r="F7" s="6" t="s">
        <v>536</v>
      </c>
      <c r="G7" s="6" t="s">
        <v>539</v>
      </c>
      <c r="H7" s="6" t="s">
        <v>690</v>
      </c>
      <c r="I7" s="6" t="s">
        <v>145</v>
      </c>
      <c r="J7" s="6" t="s">
        <v>541</v>
      </c>
      <c r="K7" s="6" t="s">
        <v>542</v>
      </c>
      <c r="L7"/>
    </row>
    <row r="8" spans="2:12" ht="37.5" customHeight="1" x14ac:dyDescent="0.3">
      <c r="C8" s="34" t="str">
        <f>IF('3.2 Facteurs d''émission'!$D8&lt;&gt;"",""&amp;$C$6&amp;IF('3.2 Facteurs d''émission'!$E8&lt;&gt;"",""&amp;" - "&amp;'3.2 Facteurs d''émission'!$E8,"")&amp;" - "&amp;'3.2 Facteurs d''émission'!$D8,"")</f>
        <v>Poste de travail - Ordinateur portable, quelle que soit la taille de l'écran - ADEME 2023, Base carbone</v>
      </c>
      <c r="D8" s="7" t="s">
        <v>198</v>
      </c>
      <c r="E8" s="34" t="s">
        <v>656</v>
      </c>
      <c r="F8" s="35">
        <v>5</v>
      </c>
      <c r="G8" s="11">
        <v>170.3</v>
      </c>
      <c r="H8" s="11">
        <v>29.1</v>
      </c>
      <c r="I8" s="34" t="s">
        <v>658</v>
      </c>
      <c r="J8" s="136" t="s">
        <v>201</v>
      </c>
      <c r="K8" s="7"/>
      <c r="L8"/>
    </row>
    <row r="9" spans="2:12" ht="42" x14ac:dyDescent="0.3">
      <c r="C9" s="5" t="str">
        <f>IF('3.2 Facteurs d''émission'!$D9&lt;&gt;"",""&amp;$C$6&amp;IF('3.2 Facteurs d''émission'!$E9&lt;&gt;"",""&amp;" - "&amp;'3.2 Facteurs d''émission'!$E9,"")&amp;" - "&amp;'3.2 Facteurs d''émission'!$D9,"")</f>
        <v>Poste de travail - Unité centrale d'ordinateur seule - ADEME 2023, Base carbone</v>
      </c>
      <c r="D9" s="3" t="s">
        <v>198</v>
      </c>
      <c r="E9" s="12" t="s">
        <v>657</v>
      </c>
      <c r="F9" s="37">
        <v>6</v>
      </c>
      <c r="G9" s="1">
        <v>202.57769999999999</v>
      </c>
      <c r="H9" s="1">
        <v>151</v>
      </c>
      <c r="I9" s="5" t="s">
        <v>659</v>
      </c>
      <c r="J9" s="16" t="s">
        <v>201</v>
      </c>
      <c r="L9"/>
    </row>
    <row r="10" spans="2:12" x14ac:dyDescent="0.3">
      <c r="F10" s="37"/>
      <c r="G10" s="1"/>
      <c r="H10" s="1"/>
      <c r="L10"/>
    </row>
    <row r="11" spans="2:12" x14ac:dyDescent="0.3">
      <c r="F11" s="37"/>
      <c r="G11" s="1"/>
      <c r="H11" s="1"/>
      <c r="L11"/>
    </row>
    <row r="12" spans="2:12" x14ac:dyDescent="0.3">
      <c r="C12" s="56" t="s">
        <v>164</v>
      </c>
      <c r="D12" s="57"/>
      <c r="E12" s="57"/>
      <c r="F12" s="57"/>
      <c r="G12" s="57"/>
      <c r="H12" s="57"/>
      <c r="I12" s="57"/>
      <c r="J12" s="57"/>
      <c r="K12" s="57"/>
      <c r="L12"/>
    </row>
    <row r="13" spans="2:12" x14ac:dyDescent="0.3">
      <c r="C13" s="6" t="s">
        <v>527</v>
      </c>
      <c r="D13" s="6" t="s">
        <v>155</v>
      </c>
      <c r="E13" s="6" t="s">
        <v>535</v>
      </c>
      <c r="F13" s="6" t="s">
        <v>537</v>
      </c>
      <c r="G13" s="6" t="s">
        <v>539</v>
      </c>
      <c r="H13" s="6" t="s">
        <v>690</v>
      </c>
      <c r="I13" s="6" t="s">
        <v>145</v>
      </c>
      <c r="J13" s="6" t="s">
        <v>541</v>
      </c>
      <c r="K13" s="6" t="s">
        <v>542</v>
      </c>
      <c r="L13"/>
    </row>
    <row r="14" spans="2:12" ht="28" x14ac:dyDescent="0.3">
      <c r="C14" s="34" t="str">
        <f>_xlfn.CONCAT(C12," - ", D14," - ",E14)</f>
        <v>VDIs - Etude Wavestone basée sur la base de données ADEME/Base de données Negaoctet - Serveur sous-jacent VDI (8 vCPU, 32 GB RAM dédié) et réseau</v>
      </c>
      <c r="D14" s="7" t="s">
        <v>795</v>
      </c>
      <c r="E14" s="34" t="s">
        <v>660</v>
      </c>
      <c r="F14" s="35"/>
      <c r="G14" s="9">
        <v>127.73183243741441</v>
      </c>
      <c r="H14" s="9">
        <v>26.895045041723733</v>
      </c>
      <c r="I14" s="7"/>
      <c r="J14" s="10"/>
      <c r="K14" s="7"/>
      <c r="L14"/>
    </row>
    <row r="15" spans="2:12" x14ac:dyDescent="0.3">
      <c r="F15" s="37"/>
      <c r="G15" s="1"/>
      <c r="H15" s="1"/>
      <c r="L15"/>
    </row>
    <row r="16" spans="2:12" x14ac:dyDescent="0.3">
      <c r="L16"/>
    </row>
    <row r="17" spans="3:12" x14ac:dyDescent="0.3">
      <c r="L17"/>
    </row>
    <row r="18" spans="3:12" x14ac:dyDescent="0.3">
      <c r="L18"/>
    </row>
    <row r="19" spans="3:12" x14ac:dyDescent="0.3">
      <c r="L19"/>
    </row>
    <row r="20" spans="3:12" x14ac:dyDescent="0.3">
      <c r="C20" s="56" t="s">
        <v>662</v>
      </c>
      <c r="D20" s="57"/>
      <c r="E20" s="57"/>
      <c r="F20" s="57"/>
      <c r="G20" s="57"/>
      <c r="H20" s="57"/>
      <c r="I20" s="57"/>
      <c r="J20" s="57"/>
      <c r="K20" s="57"/>
      <c r="L20"/>
    </row>
    <row r="21" spans="3:12" x14ac:dyDescent="0.3">
      <c r="C21" s="6" t="s">
        <v>527</v>
      </c>
      <c r="D21" s="6" t="s">
        <v>155</v>
      </c>
      <c r="E21" s="6" t="s">
        <v>535</v>
      </c>
      <c r="F21" s="6" t="s">
        <v>536</v>
      </c>
      <c r="G21" s="6" t="s">
        <v>539</v>
      </c>
      <c r="H21" s="6" t="s">
        <v>690</v>
      </c>
      <c r="I21" s="6" t="s">
        <v>145</v>
      </c>
      <c r="J21" s="6" t="s">
        <v>541</v>
      </c>
      <c r="K21" s="6" t="s">
        <v>542</v>
      </c>
      <c r="L21"/>
    </row>
    <row r="22" spans="3:12" ht="42" x14ac:dyDescent="0.3">
      <c r="C22" s="34" t="str">
        <f>IF('3.2 Facteurs d''émission'!$D22&lt;&gt;"",""&amp;$C$20&amp;IF('3.2 Facteurs d''émission'!$E22&lt;&gt;"",""&amp;" - "&amp;'3.2 Facteurs d''émission'!$E22,"")&amp;" - "&amp;'3.2 Facteurs d''émission'!$D22,"")</f>
        <v>Tablettes - Tablettes - ADEME 2023, Base carbone</v>
      </c>
      <c r="D22" s="7" t="s">
        <v>198</v>
      </c>
      <c r="E22" s="34" t="s">
        <v>662</v>
      </c>
      <c r="F22" s="35">
        <v>3</v>
      </c>
      <c r="G22" s="11">
        <v>80.539063745216097</v>
      </c>
      <c r="H22" s="8">
        <v>18.600000000000001</v>
      </c>
      <c r="I22" s="34" t="s">
        <v>661</v>
      </c>
      <c r="J22" s="136" t="s">
        <v>201</v>
      </c>
      <c r="K22" s="7"/>
      <c r="L22"/>
    </row>
    <row r="23" spans="3:12" x14ac:dyDescent="0.3">
      <c r="F23" s="37"/>
      <c r="G23" s="1"/>
      <c r="H23" s="1"/>
      <c r="J23" s="29"/>
      <c r="L23"/>
    </row>
    <row r="24" spans="3:12" x14ac:dyDescent="0.3">
      <c r="L24"/>
    </row>
    <row r="25" spans="3:12" x14ac:dyDescent="0.3">
      <c r="C25" s="56" t="s">
        <v>665</v>
      </c>
      <c r="D25" s="57"/>
      <c r="E25" s="57"/>
      <c r="F25" s="57"/>
      <c r="G25" s="57"/>
      <c r="H25" s="57"/>
      <c r="I25" s="57"/>
      <c r="J25" s="57"/>
      <c r="K25" s="57"/>
      <c r="L25"/>
    </row>
    <row r="26" spans="3:12" x14ac:dyDescent="0.3">
      <c r="C26" s="6" t="s">
        <v>527</v>
      </c>
      <c r="D26" s="6" t="s">
        <v>155</v>
      </c>
      <c r="E26" s="6" t="s">
        <v>535</v>
      </c>
      <c r="F26" s="6" t="s">
        <v>536</v>
      </c>
      <c r="G26" s="6" t="s">
        <v>539</v>
      </c>
      <c r="H26" s="6" t="s">
        <v>690</v>
      </c>
      <c r="I26" s="6" t="s">
        <v>145</v>
      </c>
      <c r="J26" s="6" t="s">
        <v>541</v>
      </c>
      <c r="K26" s="6" t="s">
        <v>542</v>
      </c>
      <c r="L26"/>
    </row>
    <row r="27" spans="3:12" x14ac:dyDescent="0.3">
      <c r="C27" s="34" t="str">
        <f>IF('3.2 Facteurs d''émission'!$D27&lt;&gt;"",""&amp;$C$25&amp;IF('3.2 Facteurs d''émission'!$E27&lt;&gt;"",""&amp;" - "&amp;'3.2 Facteurs d''émission'!$E27,"")&amp;" - "&amp;'3.2 Facteurs d''émission'!$D27,"")</f>
        <v>Téléphones - Smartphones   - ADEME 2023, Base carbone</v>
      </c>
      <c r="D27" s="7" t="s">
        <v>198</v>
      </c>
      <c r="E27" s="34" t="s">
        <v>165</v>
      </c>
      <c r="F27" s="35">
        <v>2.5</v>
      </c>
      <c r="G27" s="11">
        <v>77.033333333333303</v>
      </c>
      <c r="H27" s="11">
        <v>3.9</v>
      </c>
      <c r="I27" s="34" t="s">
        <v>801</v>
      </c>
      <c r="J27" s="136" t="s">
        <v>201</v>
      </c>
      <c r="K27" s="7"/>
      <c r="L27"/>
    </row>
    <row r="28" spans="3:12" x14ac:dyDescent="0.3">
      <c r="C28" s="5" t="str">
        <f>IF('3.2 Facteurs d''émission'!$D28&lt;&gt;"",""&amp;$C$25&amp;IF('3.2 Facteurs d''émission'!$E28&lt;&gt;"",""&amp;" - "&amp;'3.2 Facteurs d''émission'!$E28,"")&amp;" - "&amp;'3.2 Facteurs d''émission'!$D28,"")</f>
        <v/>
      </c>
      <c r="F28" s="37"/>
      <c r="G28" s="2"/>
      <c r="H28" s="30"/>
      <c r="J28" s="29"/>
      <c r="L28"/>
    </row>
    <row r="29" spans="3:12" x14ac:dyDescent="0.3">
      <c r="F29" s="37"/>
      <c r="G29" s="1"/>
      <c r="H29" s="1"/>
      <c r="L29"/>
    </row>
    <row r="30" spans="3:12" x14ac:dyDescent="0.3">
      <c r="L30"/>
    </row>
    <row r="31" spans="3:12" x14ac:dyDescent="0.3">
      <c r="L31"/>
    </row>
    <row r="32" spans="3:12" x14ac:dyDescent="0.3">
      <c r="C32" s="56" t="s">
        <v>666</v>
      </c>
      <c r="D32" s="57"/>
      <c r="E32" s="57"/>
      <c r="F32" s="57"/>
      <c r="G32" s="57"/>
      <c r="H32" s="57"/>
      <c r="I32" s="57"/>
      <c r="J32" s="57"/>
      <c r="K32" s="57"/>
      <c r="L32"/>
    </row>
    <row r="33" spans="2:22" x14ac:dyDescent="0.3">
      <c r="C33" s="6" t="s">
        <v>527</v>
      </c>
      <c r="D33" s="6" t="s">
        <v>155</v>
      </c>
      <c r="E33" s="6" t="s">
        <v>535</v>
      </c>
      <c r="F33" s="6" t="s">
        <v>537</v>
      </c>
      <c r="G33" s="6" t="s">
        <v>539</v>
      </c>
      <c r="H33" s="6" t="s">
        <v>690</v>
      </c>
      <c r="I33" s="6" t="s">
        <v>145</v>
      </c>
      <c r="J33" s="6" t="s">
        <v>541</v>
      </c>
      <c r="K33" s="6" t="s">
        <v>542</v>
      </c>
      <c r="L33"/>
    </row>
    <row r="34" spans="2:22" ht="42" x14ac:dyDescent="0.3">
      <c r="C34" s="34" t="str">
        <f>IF('3.2 Facteurs d''émission'!$D34&lt;&gt;"",""&amp;$C$32&amp;IF('3.2 Facteurs d''émission'!$E34&lt;&gt;"",""&amp;" - "&amp;'3.2 Facteurs d''émission'!$E34,"")&amp;" - "&amp;'3.2 Facteurs d''émission'!$D34,"")</f>
        <v>Moniteurs de bureau - Toutes les tailles d'écran - ADEME 2023, Base carbone</v>
      </c>
      <c r="D34" s="7" t="s">
        <v>198</v>
      </c>
      <c r="E34" s="32" t="s">
        <v>663</v>
      </c>
      <c r="F34" s="35"/>
      <c r="G34" s="9">
        <v>64.599999999999994</v>
      </c>
      <c r="H34" s="9">
        <v>70</v>
      </c>
      <c r="I34" s="34" t="s">
        <v>664</v>
      </c>
      <c r="J34" s="136" t="s">
        <v>201</v>
      </c>
      <c r="K34" s="7"/>
      <c r="L34"/>
    </row>
    <row r="35" spans="2:22" x14ac:dyDescent="0.3">
      <c r="F35" s="37"/>
      <c r="G35" s="1"/>
      <c r="H35" s="1"/>
      <c r="J35" s="29"/>
      <c r="L35"/>
    </row>
    <row r="36" spans="2:22" x14ac:dyDescent="0.3">
      <c r="L36"/>
    </row>
    <row r="37" spans="2:22" x14ac:dyDescent="0.3">
      <c r="L37"/>
    </row>
    <row r="38" spans="2:22" x14ac:dyDescent="0.3">
      <c r="L38"/>
    </row>
    <row r="39" spans="2:22" x14ac:dyDescent="0.3">
      <c r="B39" s="335" t="s">
        <v>532</v>
      </c>
      <c r="C39" s="335"/>
      <c r="D39" s="335"/>
      <c r="E39" s="335"/>
      <c r="F39" s="335"/>
      <c r="G39" s="335"/>
      <c r="H39" s="335"/>
      <c r="I39" s="335"/>
      <c r="J39" s="335"/>
      <c r="K39" s="335"/>
      <c r="L39" s="335"/>
      <c r="M39" s="335"/>
      <c r="N39" s="335"/>
      <c r="O39" s="335"/>
      <c r="P39" s="335"/>
      <c r="Q39" s="335"/>
      <c r="R39" s="335"/>
    </row>
    <row r="40" spans="2:22" ht="14.9" customHeight="1" x14ac:dyDescent="0.3">
      <c r="B40" s="335"/>
      <c r="C40" s="335"/>
      <c r="D40" s="335"/>
      <c r="E40" s="335"/>
      <c r="F40" s="335"/>
      <c r="G40" s="335"/>
      <c r="H40" s="335"/>
      <c r="I40" s="335"/>
      <c r="J40" s="335"/>
      <c r="K40" s="335"/>
      <c r="L40" s="335"/>
      <c r="M40" s="335"/>
      <c r="N40" s="335"/>
      <c r="O40" s="335"/>
      <c r="P40" s="335"/>
      <c r="Q40" s="335"/>
      <c r="R40" s="335"/>
    </row>
    <row r="41" spans="2:22" ht="14.9" customHeight="1" x14ac:dyDescent="0.3">
      <c r="B41" s="335"/>
      <c r="C41" s="335"/>
      <c r="D41" s="335"/>
      <c r="E41" s="335"/>
      <c r="F41" s="335"/>
      <c r="G41" s="335"/>
      <c r="H41" s="335"/>
      <c r="I41" s="335"/>
      <c r="J41" s="335"/>
      <c r="K41" s="335"/>
      <c r="L41" s="335"/>
      <c r="M41" s="335"/>
      <c r="N41" s="335"/>
      <c r="O41" s="335"/>
      <c r="P41" s="335"/>
      <c r="Q41" s="335"/>
      <c r="R41" s="335"/>
    </row>
    <row r="44" spans="2:22" x14ac:dyDescent="0.3">
      <c r="C44" s="56" t="s">
        <v>533</v>
      </c>
      <c r="D44" s="57"/>
      <c r="E44" s="57"/>
      <c r="F44" s="57"/>
      <c r="G44" s="57"/>
      <c r="H44" s="57"/>
      <c r="I44" s="57"/>
      <c r="J44" s="57"/>
      <c r="K44" s="57"/>
      <c r="L44" s="57"/>
      <c r="M44" s="57"/>
      <c r="N44" s="57"/>
      <c r="O44" s="57"/>
      <c r="P44" s="57"/>
      <c r="Q44" s="57"/>
      <c r="R44" s="57"/>
      <c r="S44"/>
    </row>
    <row r="45" spans="2:22" s="5" customFormat="1" ht="49.5" customHeight="1" x14ac:dyDescent="0.3">
      <c r="C45" s="6" t="s">
        <v>527</v>
      </c>
      <c r="D45" s="6" t="s">
        <v>155</v>
      </c>
      <c r="E45" s="6" t="s">
        <v>166</v>
      </c>
      <c r="F45" s="6" t="s">
        <v>783</v>
      </c>
      <c r="G45" s="6" t="s">
        <v>784</v>
      </c>
      <c r="H45" s="6" t="s">
        <v>785</v>
      </c>
      <c r="I45" s="6" t="s">
        <v>548</v>
      </c>
      <c r="J45" s="6" t="s">
        <v>547</v>
      </c>
      <c r="K45" s="6" t="s">
        <v>537</v>
      </c>
      <c r="L45" s="6" t="s">
        <v>690</v>
      </c>
      <c r="M45" s="6" t="s">
        <v>776</v>
      </c>
      <c r="N45" s="6" t="s">
        <v>777</v>
      </c>
      <c r="O45" s="6" t="s">
        <v>778</v>
      </c>
      <c r="P45" s="6" t="s">
        <v>145</v>
      </c>
      <c r="Q45" s="6" t="s">
        <v>541</v>
      </c>
      <c r="R45" s="6" t="s">
        <v>542</v>
      </c>
      <c r="T45" s="338" t="s">
        <v>781</v>
      </c>
      <c r="U45" s="338"/>
      <c r="V45" s="338"/>
    </row>
    <row r="46" spans="2:22" ht="22" customHeight="1" x14ac:dyDescent="0.3">
      <c r="C46" s="34" t="str">
        <f>IF('3.2 Facteurs d''émission'!$D46&lt;&gt;"",""&amp;$C$44&amp;IF('3.2 Facteurs d''émission'!$E46&lt;&gt;"",""&amp;" - "&amp;'3.2 Facteurs d''émission'!$E46,"")&amp;" - "&amp;'3.2 Facteurs d''émission'!$D46,"")</f>
        <v>Serveurs - Serveur - ADEME 2020, Base carbone</v>
      </c>
      <c r="D46" s="7" t="s">
        <v>167</v>
      </c>
      <c r="E46" s="34" t="s">
        <v>667</v>
      </c>
      <c r="F46" s="35" t="s">
        <v>168</v>
      </c>
      <c r="G46" s="7"/>
      <c r="H46" s="8" t="s">
        <v>168</v>
      </c>
      <c r="I46" s="7"/>
      <c r="J46" s="8" t="s">
        <v>168</v>
      </c>
      <c r="K46" s="8">
        <v>600</v>
      </c>
      <c r="L46" s="9"/>
      <c r="M46" s="7"/>
      <c r="N46" s="7"/>
      <c r="O46" s="7"/>
      <c r="P46" s="7"/>
      <c r="Q46" s="7"/>
      <c r="R46" s="7"/>
      <c r="T46" s="20" t="s">
        <v>780</v>
      </c>
      <c r="U46" s="20" t="s">
        <v>169</v>
      </c>
      <c r="V46" s="20" t="s">
        <v>170</v>
      </c>
    </row>
    <row r="47" spans="2:22" ht="56" x14ac:dyDescent="0.3">
      <c r="C47" s="5" t="str">
        <f>IF('3.2 Facteurs d''émission'!$D47&lt;&gt;"",""&amp;$C$44&amp;IF('3.2 Facteurs d''émission'!$E47&lt;&gt;"",""&amp;" - "&amp;'3.2 Facteurs d''émission'!$E47,"")&amp;" - "&amp;'3.2 Facteurs d''émission'!$D47,"")</f>
        <v>Serveurs - Serveur - Boavizta / Etude ADEME 2012</v>
      </c>
      <c r="D47" s="3" t="s">
        <v>554</v>
      </c>
      <c r="E47" s="5" t="s">
        <v>667</v>
      </c>
      <c r="F47" s="37">
        <v>1000</v>
      </c>
      <c r="H47" s="1">
        <v>3</v>
      </c>
      <c r="J47" s="1">
        <v>150</v>
      </c>
      <c r="K47" s="1"/>
      <c r="L47" s="2">
        <v>1476.751</v>
      </c>
      <c r="N47" s="3">
        <v>31.1</v>
      </c>
      <c r="O47" s="3">
        <v>0.05</v>
      </c>
      <c r="P47" s="5" t="s">
        <v>669</v>
      </c>
      <c r="Q47" s="55" t="s">
        <v>171</v>
      </c>
      <c r="T47">
        <v>256</v>
      </c>
      <c r="U47">
        <v>17</v>
      </c>
      <c r="V47">
        <f>U47/T47</f>
        <v>6.640625E-2</v>
      </c>
    </row>
    <row r="48" spans="2:22" x14ac:dyDescent="0.3">
      <c r="C48" s="34" t="str">
        <f>IF('3.2 Facteurs d''émission'!$D48&lt;&gt;"",""&amp;$C$44&amp;IF('3.2 Facteurs d''émission'!$E48&lt;&gt;"",""&amp;" - "&amp;'3.2 Facteurs d''émission'!$E48,"")&amp;" - "&amp;'3.2 Facteurs d''émission'!$D48,"")</f>
        <v>Serveurs - Stockage - ADEME 2012, Guide sectoriel</v>
      </c>
      <c r="D48" s="7" t="s">
        <v>555</v>
      </c>
      <c r="E48" s="34" t="s">
        <v>668</v>
      </c>
      <c r="F48" s="35" t="s">
        <v>168</v>
      </c>
      <c r="G48" s="7"/>
      <c r="H48" s="8" t="s">
        <v>168</v>
      </c>
      <c r="I48" s="7"/>
      <c r="J48" s="8" t="s">
        <v>168</v>
      </c>
      <c r="K48" s="8">
        <v>15.5</v>
      </c>
      <c r="L48" s="8"/>
      <c r="M48" s="7"/>
      <c r="N48" s="7"/>
      <c r="O48" s="7"/>
      <c r="P48" s="7"/>
      <c r="Q48" s="7"/>
      <c r="R48" s="7"/>
      <c r="T48">
        <v>512</v>
      </c>
      <c r="U48">
        <v>27</v>
      </c>
      <c r="V48">
        <f>U48/T48</f>
        <v>5.2734375E-2</v>
      </c>
    </row>
    <row r="49" spans="3:22" x14ac:dyDescent="0.3">
      <c r="C49" s="5" t="str">
        <f>IF('3.2 Facteurs d''émission'!$D49&lt;&gt;"",""&amp;$C$44&amp;IF('3.2 Facteurs d''émission'!$E49&lt;&gt;"",""&amp;" - "&amp;'3.2 Facteurs d''émission'!$E49,"")&amp;" - "&amp;'3.2 Facteurs d''émission'!$D49,"")</f>
        <v>Serveurs - Serveur - HPE SY 480 Gen10</v>
      </c>
      <c r="D49" s="3" t="s">
        <v>172</v>
      </c>
      <c r="E49" s="5" t="s">
        <v>667</v>
      </c>
      <c r="F49" s="39">
        <v>1158</v>
      </c>
      <c r="G49" s="1">
        <v>48</v>
      </c>
      <c r="H49" s="2">
        <f>F49/G49</f>
        <v>24.125</v>
      </c>
      <c r="I49" s="1">
        <v>1</v>
      </c>
      <c r="J49" s="2">
        <f>F49/I49</f>
        <v>1158</v>
      </c>
      <c r="K49" s="1"/>
      <c r="L49" s="2">
        <v>845.8</v>
      </c>
      <c r="M49" s="2">
        <f>L49/I49</f>
        <v>845.8</v>
      </c>
      <c r="N49" s="2"/>
      <c r="O49" s="2"/>
      <c r="Q49" s="41" t="s">
        <v>173</v>
      </c>
      <c r="T49">
        <v>1024</v>
      </c>
      <c r="U49">
        <v>48</v>
      </c>
      <c r="V49">
        <f>U49/T49</f>
        <v>4.6875E-2</v>
      </c>
    </row>
    <row r="50" spans="3:22" x14ac:dyDescent="0.3">
      <c r="C50" s="34" t="str">
        <f>IF('3.2 Facteurs d''émission'!$D50&lt;&gt;"",""&amp;$C$44&amp;IF('3.2 Facteurs d''émission'!$E50&lt;&gt;"",""&amp;" - "&amp;'3.2 Facteurs d''émission'!$E50,"")&amp;" - "&amp;'3.2 Facteurs d''émission'!$D50,"")</f>
        <v>Serveurs - Serveur - PowerEdge R740XD</v>
      </c>
      <c r="D50" s="34" t="s">
        <v>174</v>
      </c>
      <c r="E50" s="34" t="s">
        <v>667</v>
      </c>
      <c r="F50" s="40">
        <v>1321.92</v>
      </c>
      <c r="G50" s="8">
        <v>32</v>
      </c>
      <c r="H50" s="9">
        <f>F50/G50</f>
        <v>41.31</v>
      </c>
      <c r="I50" s="8">
        <v>2</v>
      </c>
      <c r="J50" s="9">
        <f>F50/I50</f>
        <v>660.96</v>
      </c>
      <c r="K50" s="8"/>
      <c r="L50" s="9">
        <v>1858.8720000000001</v>
      </c>
      <c r="M50" s="9">
        <f>L50/I50</f>
        <v>929.43600000000004</v>
      </c>
      <c r="N50" s="9"/>
      <c r="O50" s="9"/>
      <c r="P50" s="7"/>
      <c r="Q50" s="42" t="s">
        <v>173</v>
      </c>
      <c r="R50" s="7"/>
      <c r="T50">
        <v>2048</v>
      </c>
      <c r="U50">
        <v>90</v>
      </c>
      <c r="V50">
        <f>U50/T50</f>
        <v>4.39453125E-2</v>
      </c>
    </row>
    <row r="51" spans="3:22" x14ac:dyDescent="0.3">
      <c r="C51" s="5" t="str">
        <f>IF('3.2 Facteurs d''émission'!$D51&lt;&gt;"",""&amp;$C$44&amp;IF('3.2 Facteurs d''émission'!$E51&lt;&gt;"",""&amp;" - "&amp;'3.2 Facteurs d''émission'!$E51,"")&amp;" - "&amp;'3.2 Facteurs d''émission'!$D51,"")</f>
        <v>Serveurs - Serveur - PowerEdge R640</v>
      </c>
      <c r="D51" s="3" t="s">
        <v>175</v>
      </c>
      <c r="E51" s="5" t="s">
        <v>667</v>
      </c>
      <c r="F51" s="39">
        <v>1283.18</v>
      </c>
      <c r="G51" s="1">
        <v>32</v>
      </c>
      <c r="H51" s="2">
        <f>F51/G51</f>
        <v>40.099375000000002</v>
      </c>
      <c r="I51" s="1">
        <v>2</v>
      </c>
      <c r="J51" s="2">
        <f>F51/I51</f>
        <v>641.59</v>
      </c>
      <c r="K51" s="2"/>
      <c r="L51" s="2">
        <v>1760.3</v>
      </c>
      <c r="M51" s="2">
        <f>L51/I51</f>
        <v>880.15</v>
      </c>
      <c r="N51" s="2"/>
      <c r="O51" s="2"/>
      <c r="P51" s="1"/>
      <c r="Q51" s="41" t="s">
        <v>173</v>
      </c>
      <c r="T51">
        <v>4096</v>
      </c>
      <c r="U51">
        <v>170</v>
      </c>
      <c r="V51">
        <f>U51/T51</f>
        <v>4.150390625E-2</v>
      </c>
    </row>
    <row r="52" spans="3:22" x14ac:dyDescent="0.3">
      <c r="C52" s="34" t="str">
        <f>IF('3.2 Facteurs d''émission'!$D52&lt;&gt;"",""&amp;$C$44&amp;IF('3.2 Facteurs d''émission'!$E52&lt;&gt;"",""&amp;" - "&amp;'3.2 Facteurs d''émission'!$E52,"")&amp;" - "&amp;'3.2 Facteurs d''émission'!$D52,"")</f>
        <v>Serveurs - Serveur - PowerEdge R740</v>
      </c>
      <c r="D52" s="34" t="s">
        <v>176</v>
      </c>
      <c r="E52" s="34" t="s">
        <v>667</v>
      </c>
      <c r="F52" s="40">
        <v>1313.28</v>
      </c>
      <c r="G52" s="8">
        <v>32</v>
      </c>
      <c r="H52" s="9">
        <f>F52/G52</f>
        <v>41.04</v>
      </c>
      <c r="I52" s="8">
        <v>2</v>
      </c>
      <c r="J52" s="9">
        <f>F52/I52</f>
        <v>656.64</v>
      </c>
      <c r="K52" s="8"/>
      <c r="L52" s="9">
        <v>1760.3</v>
      </c>
      <c r="M52" s="9">
        <f>L52/I52</f>
        <v>880.15</v>
      </c>
      <c r="N52" s="9"/>
      <c r="O52" s="9"/>
      <c r="P52" s="7"/>
      <c r="Q52" s="42" t="s">
        <v>173</v>
      </c>
      <c r="R52" s="7"/>
    </row>
    <row r="53" spans="3:22" x14ac:dyDescent="0.3">
      <c r="C53" s="5" t="str">
        <f>IF('3.2 Facteurs d''émission'!$D53&lt;&gt;"",""&amp;$C$44&amp;IF('3.2 Facteurs d''émission'!$E53&lt;&gt;"",""&amp;" - "&amp;'3.2 Facteurs d''émission'!$E53,"")&amp;" - "&amp;'3.2 Facteurs d''émission'!$D53,"")</f>
        <v>Serveurs - Serveur - Moyenne</v>
      </c>
      <c r="D53" s="3" t="s">
        <v>556</v>
      </c>
      <c r="E53" s="5" t="s">
        <v>667</v>
      </c>
      <c r="F53" s="39">
        <f>AVERAGE(F49:F52)</f>
        <v>1269.095</v>
      </c>
      <c r="G53" s="39">
        <f t="shared" ref="G53:M53" si="0">AVERAGE(G49:G52)</f>
        <v>36</v>
      </c>
      <c r="H53" s="39">
        <f t="shared" si="0"/>
        <v>36.643593750000001</v>
      </c>
      <c r="I53" s="39">
        <f>AVERAGE(I49:I52)</f>
        <v>1.75</v>
      </c>
      <c r="J53" s="39">
        <f t="shared" si="0"/>
        <v>779.29750000000001</v>
      </c>
      <c r="K53" s="39"/>
      <c r="L53" s="39">
        <f t="shared" si="0"/>
        <v>1556.318</v>
      </c>
      <c r="M53" s="39">
        <f t="shared" si="0"/>
        <v>883.88400000000001</v>
      </c>
      <c r="N53" s="39"/>
      <c r="O53" s="39"/>
    </row>
    <row r="54" spans="3:22" x14ac:dyDescent="0.3">
      <c r="G54" s="2"/>
      <c r="H54" s="1"/>
      <c r="I54" s="2"/>
      <c r="J54" s="1"/>
      <c r="K54" s="1"/>
      <c r="L54" s="1"/>
      <c r="M54" s="1"/>
    </row>
    <row r="56" spans="3:22" x14ac:dyDescent="0.3">
      <c r="C56" s="337" t="s">
        <v>735</v>
      </c>
      <c r="D56" s="337"/>
      <c r="E56" s="337"/>
      <c r="F56" s="337"/>
      <c r="G56" s="337"/>
      <c r="H56" s="337"/>
      <c r="I56" s="337"/>
      <c r="J56" s="337"/>
      <c r="K56" s="337"/>
      <c r="L56"/>
    </row>
    <row r="57" spans="3:22" x14ac:dyDescent="0.3">
      <c r="C57" s="6" t="s">
        <v>527</v>
      </c>
      <c r="D57" s="6" t="s">
        <v>155</v>
      </c>
      <c r="E57" s="6" t="s">
        <v>535</v>
      </c>
      <c r="F57" s="6" t="s">
        <v>537</v>
      </c>
      <c r="G57" s="6" t="s">
        <v>539</v>
      </c>
      <c r="H57" s="6" t="s">
        <v>690</v>
      </c>
      <c r="I57" s="6" t="s">
        <v>145</v>
      </c>
      <c r="J57" s="6" t="s">
        <v>541</v>
      </c>
      <c r="K57" s="6" t="s">
        <v>542</v>
      </c>
    </row>
    <row r="58" spans="3:22" x14ac:dyDescent="0.3">
      <c r="C58" s="34" t="str">
        <f>_xlfn.CONCAT($C$56," - ", D58," - ",E58)</f>
        <v>Stockage Disque Dur/HDD - Boavizta / Datavizta - A l'unité</v>
      </c>
      <c r="D58" s="7" t="s">
        <v>207</v>
      </c>
      <c r="E58" s="34" t="s">
        <v>672</v>
      </c>
      <c r="F58" s="35">
        <v>31.1</v>
      </c>
      <c r="G58" s="9"/>
      <c r="H58" s="9"/>
      <c r="I58" s="9"/>
      <c r="J58" s="9" t="s">
        <v>171</v>
      </c>
      <c r="K58" s="7"/>
    </row>
    <row r="59" spans="3:22" ht="28" x14ac:dyDescent="0.3">
      <c r="C59" s="3" t="str">
        <f>_xlfn.CONCAT($C$56," - ", D59," - ",E59)</f>
        <v>Stockage Disque Dur/HDD - ADEME 2023, Base carbone - A l'unité</v>
      </c>
      <c r="D59" s="3" t="s">
        <v>198</v>
      </c>
      <c r="E59" s="12" t="s">
        <v>672</v>
      </c>
      <c r="F59" s="37"/>
      <c r="G59" s="1">
        <v>11.5</v>
      </c>
      <c r="H59" s="1">
        <v>2.8277777777777802</v>
      </c>
      <c r="I59" s="37" t="s">
        <v>699</v>
      </c>
      <c r="O59"/>
    </row>
    <row r="60" spans="3:22" x14ac:dyDescent="0.3">
      <c r="F60" s="37"/>
      <c r="G60" s="1"/>
      <c r="H60" s="1"/>
      <c r="O60"/>
    </row>
    <row r="61" spans="3:22" x14ac:dyDescent="0.3">
      <c r="C61" s="337" t="s">
        <v>534</v>
      </c>
      <c r="D61" s="337"/>
      <c r="E61" s="337"/>
      <c r="F61" s="337"/>
      <c r="G61" s="337"/>
      <c r="H61" s="337"/>
      <c r="I61" s="337"/>
      <c r="J61" s="337"/>
      <c r="K61" s="337"/>
      <c r="L61"/>
    </row>
    <row r="62" spans="3:22" x14ac:dyDescent="0.3">
      <c r="C62" s="6" t="s">
        <v>527</v>
      </c>
      <c r="D62" s="6" t="s">
        <v>155</v>
      </c>
      <c r="E62" s="6" t="s">
        <v>535</v>
      </c>
      <c r="F62" s="6" t="s">
        <v>537</v>
      </c>
      <c r="G62" s="6" t="s">
        <v>539</v>
      </c>
      <c r="H62" s="6" t="s">
        <v>690</v>
      </c>
      <c r="I62" s="6" t="s">
        <v>145</v>
      </c>
      <c r="J62" s="6" t="s">
        <v>541</v>
      </c>
      <c r="K62" s="6" t="s">
        <v>542</v>
      </c>
    </row>
    <row r="63" spans="3:22" x14ac:dyDescent="0.3">
      <c r="C63" s="34" t="str">
        <f>_xlfn.CONCAT($C$61," - ",Tableau3024[[#This Row],[Source]]," - ",Tableau3024[[#This Row],[Paramètre]])</f>
        <v>Stockage SSD - Boavizta / Datavizta - Par GB</v>
      </c>
      <c r="D63" s="7" t="s">
        <v>207</v>
      </c>
      <c r="E63" s="34" t="s">
        <v>674</v>
      </c>
      <c r="F63" s="35">
        <v>0.05</v>
      </c>
      <c r="G63" s="9"/>
      <c r="H63" s="9"/>
      <c r="I63" s="9"/>
      <c r="J63" s="9" t="s">
        <v>171</v>
      </c>
      <c r="K63" s="7"/>
    </row>
    <row r="64" spans="3:22" ht="28" x14ac:dyDescent="0.3">
      <c r="C64" s="3" t="str">
        <f>_xlfn.CONCAT($C$61," - ",Tableau3024[[#This Row],[Source]]," - ",Tableau3024[[#This Row],[Paramètre]])</f>
        <v>Stockage SSD - ADEME 2023, Base carbone - A l'unité</v>
      </c>
      <c r="D64" s="3" t="s">
        <v>198</v>
      </c>
      <c r="E64" s="12" t="s">
        <v>672</v>
      </c>
      <c r="F64" s="37"/>
      <c r="G64" s="1">
        <v>135</v>
      </c>
      <c r="H64" s="1">
        <v>0.37</v>
      </c>
      <c r="I64" s="37" t="s">
        <v>698</v>
      </c>
      <c r="O64"/>
    </row>
    <row r="65" spans="3:15" x14ac:dyDescent="0.3">
      <c r="F65" s="37"/>
      <c r="G65" s="1"/>
      <c r="H65" s="1"/>
      <c r="O65"/>
    </row>
    <row r="66" spans="3:15" x14ac:dyDescent="0.3">
      <c r="C66" s="337" t="s">
        <v>177</v>
      </c>
      <c r="D66" s="337"/>
      <c r="E66" s="337"/>
      <c r="F66" s="337"/>
      <c r="G66" s="337"/>
      <c r="H66" s="337"/>
      <c r="I66" s="337"/>
      <c r="J66" s="337"/>
      <c r="K66" s="337"/>
      <c r="L66"/>
    </row>
    <row r="67" spans="3:15" x14ac:dyDescent="0.3">
      <c r="C67" s="6" t="s">
        <v>527</v>
      </c>
      <c r="D67" s="6" t="s">
        <v>155</v>
      </c>
      <c r="E67" s="6" t="s">
        <v>535</v>
      </c>
      <c r="F67" s="6" t="s">
        <v>537</v>
      </c>
      <c r="G67" s="6" t="s">
        <v>539</v>
      </c>
      <c r="H67" s="6" t="s">
        <v>690</v>
      </c>
      <c r="I67" s="6" t="s">
        <v>145</v>
      </c>
      <c r="J67" s="6" t="s">
        <v>541</v>
      </c>
      <c r="K67" s="6" t="s">
        <v>542</v>
      </c>
    </row>
    <row r="68" spans="3:15" x14ac:dyDescent="0.3">
      <c r="C68" s="34" t="str">
        <f>_xlfn.CONCAT(C66," - ", D68," - ",E68)</f>
        <v xml:space="preserve">Racks - ADEME 2020, Base carbone - </v>
      </c>
      <c r="D68" s="7" t="s">
        <v>167</v>
      </c>
      <c r="E68" s="34"/>
      <c r="F68" s="35"/>
      <c r="G68" s="9">
        <v>550</v>
      </c>
      <c r="H68" s="9"/>
      <c r="I68" s="7"/>
      <c r="J68" s="7"/>
      <c r="K68" s="7"/>
    </row>
    <row r="69" spans="3:15" x14ac:dyDescent="0.3">
      <c r="C69" s="5" t="str">
        <f>IF('3.2 Facteurs d''émission'!$D69&lt;&gt;"",""&amp;$C$6&amp;IF('3.2 Facteurs d''émission'!$E69&lt;&gt;"",""&amp;" - "&amp;'3.2 Facteurs d''émission'!$E69,"")&amp;" - "&amp;'3.2 Facteurs d''émission'!$D69,"")</f>
        <v/>
      </c>
      <c r="E69" s="12"/>
      <c r="F69" s="37"/>
      <c r="G69" s="1"/>
      <c r="H69" s="1"/>
      <c r="O69"/>
    </row>
    <row r="70" spans="3:15" x14ac:dyDescent="0.3">
      <c r="F70" s="37"/>
      <c r="G70" s="1"/>
      <c r="H70" s="1"/>
      <c r="O70"/>
    </row>
    <row r="71" spans="3:15" x14ac:dyDescent="0.3">
      <c r="O71"/>
    </row>
    <row r="72" spans="3:15" x14ac:dyDescent="0.3">
      <c r="C72" s="337" t="s">
        <v>426</v>
      </c>
      <c r="D72" s="337"/>
      <c r="E72" s="337"/>
      <c r="F72" s="337"/>
      <c r="G72" s="337"/>
      <c r="H72" s="337"/>
      <c r="I72" s="337"/>
      <c r="J72" s="337"/>
      <c r="K72" s="337"/>
      <c r="L72" s="337"/>
      <c r="M72" s="56"/>
      <c r="N72" s="57"/>
      <c r="O72"/>
    </row>
    <row r="73" spans="3:15" x14ac:dyDescent="0.3">
      <c r="C73" s="6" t="s">
        <v>527</v>
      </c>
      <c r="D73" s="6" t="s">
        <v>155</v>
      </c>
      <c r="E73" s="6" t="s">
        <v>535</v>
      </c>
      <c r="F73" s="6" t="s">
        <v>537</v>
      </c>
      <c r="G73" s="6" t="s">
        <v>539</v>
      </c>
      <c r="H73" s="6" t="s">
        <v>690</v>
      </c>
      <c r="I73" s="6" t="s">
        <v>550</v>
      </c>
      <c r="J73" s="6" t="s">
        <v>546</v>
      </c>
      <c r="K73" s="13" t="s">
        <v>544</v>
      </c>
      <c r="L73" s="6" t="s">
        <v>145</v>
      </c>
      <c r="M73" s="6" t="s">
        <v>541</v>
      </c>
      <c r="N73" s="6" t="s">
        <v>542</v>
      </c>
      <c r="O73"/>
    </row>
    <row r="74" spans="3:15" x14ac:dyDescent="0.3">
      <c r="C74" s="36" t="str">
        <f>IF('3.2 Facteurs d''émission'!$D74&lt;&gt;"",""&amp;$C$72&amp;IF('3.2 Facteurs d''émission'!$E74&lt;&gt;"",""&amp;" - "&amp;'3.2 Facteurs d''émission'!$E74,"")&amp;" - "&amp;'3.2 Facteurs d''émission'!$D74,"")</f>
        <v>Réseau - Pare-feu - ADEME 2014, Base carbone</v>
      </c>
      <c r="D74" s="4" t="s">
        <v>178</v>
      </c>
      <c r="E74" s="36" t="s">
        <v>673</v>
      </c>
      <c r="F74" s="38"/>
      <c r="G74" s="14">
        <v>80.7</v>
      </c>
      <c r="H74" s="14">
        <v>158</v>
      </c>
      <c r="I74" s="4"/>
      <c r="J74" s="4" t="s">
        <v>168</v>
      </c>
      <c r="K74" s="4" t="s">
        <v>168</v>
      </c>
      <c r="L74" s="16"/>
      <c r="M74" s="4"/>
      <c r="N74" s="4"/>
      <c r="O74"/>
    </row>
    <row r="75" spans="3:15" x14ac:dyDescent="0.3">
      <c r="C75" s="34"/>
      <c r="D75" s="7"/>
      <c r="E75" s="34"/>
      <c r="F75" s="35"/>
      <c r="G75" s="9"/>
      <c r="H75" s="9"/>
      <c r="I75" s="7"/>
      <c r="J75" s="7"/>
      <c r="K75" s="10"/>
      <c r="L75" s="7"/>
      <c r="M75" s="7"/>
      <c r="N75" s="7"/>
      <c r="O75"/>
    </row>
    <row r="76" spans="3:15" x14ac:dyDescent="0.3">
      <c r="C76" s="36"/>
      <c r="D76" s="4"/>
      <c r="E76" s="36"/>
      <c r="F76" s="38"/>
      <c r="G76" s="14"/>
      <c r="H76" s="15"/>
      <c r="I76" s="4"/>
      <c r="J76" s="4"/>
      <c r="K76" s="4"/>
      <c r="L76" s="16"/>
      <c r="M76" s="4"/>
      <c r="N76" s="4"/>
      <c r="O76"/>
    </row>
    <row r="77" spans="3:15" x14ac:dyDescent="0.3">
      <c r="C77" s="337" t="s">
        <v>796</v>
      </c>
      <c r="D77" s="337"/>
      <c r="E77" s="337"/>
      <c r="F77" s="337"/>
      <c r="G77" s="337"/>
      <c r="H77" s="337"/>
      <c r="I77" s="337"/>
      <c r="J77" s="337"/>
      <c r="K77" s="337"/>
      <c r="L77" s="337"/>
      <c r="M77" s="56"/>
      <c r="N77" s="57"/>
      <c r="O77"/>
    </row>
    <row r="78" spans="3:15" x14ac:dyDescent="0.3">
      <c r="C78" s="6" t="s">
        <v>527</v>
      </c>
      <c r="D78" s="6" t="s">
        <v>155</v>
      </c>
      <c r="E78" s="6" t="s">
        <v>166</v>
      </c>
      <c r="F78" s="6" t="s">
        <v>537</v>
      </c>
      <c r="G78" s="6" t="s">
        <v>539</v>
      </c>
      <c r="H78" s="6" t="s">
        <v>690</v>
      </c>
      <c r="I78" s="6" t="s">
        <v>550</v>
      </c>
      <c r="J78" s="6" t="s">
        <v>546</v>
      </c>
      <c r="K78" s="13" t="s">
        <v>544</v>
      </c>
      <c r="L78" s="6" t="s">
        <v>145</v>
      </c>
      <c r="M78" s="6" t="s">
        <v>541</v>
      </c>
      <c r="N78" s="6" t="s">
        <v>542</v>
      </c>
      <c r="O78"/>
    </row>
    <row r="79" spans="3:15" x14ac:dyDescent="0.3">
      <c r="C79" s="34" t="str">
        <f>IF('3.2 Facteurs d''émission'!$D79&lt;&gt;"",""&amp;$C$72&amp;IF('3.2 Facteurs d''émission'!$E79&lt;&gt;"",""&amp;" - "&amp;'3.2 Facteurs d''émission'!$E79,"")&amp;" - "&amp;'3.2 Facteurs d''émission'!$D79,"")</f>
        <v>Réseau - Réseau fixe - ARCEP / ICT / Etude de l'AIE</v>
      </c>
      <c r="D79" s="7" t="s">
        <v>675</v>
      </c>
      <c r="E79" s="34" t="s">
        <v>676</v>
      </c>
      <c r="F79" s="35"/>
      <c r="G79" s="31">
        <v>9.2700000000000005E-3</v>
      </c>
      <c r="H79" s="31">
        <v>3.4200000000000001E-2</v>
      </c>
      <c r="I79" s="7"/>
      <c r="J79" s="7"/>
      <c r="K79" s="17"/>
      <c r="L79" s="7"/>
      <c r="M79" s="17" t="s">
        <v>179</v>
      </c>
      <c r="N79" s="7"/>
      <c r="O79"/>
    </row>
    <row r="80" spans="3:15" x14ac:dyDescent="0.3">
      <c r="C80" s="5" t="str">
        <f>IF('3.2 Facteurs d''émission'!$D80&lt;&gt;"",""&amp;$C$72&amp;IF('3.2 Facteurs d''émission'!$E80&lt;&gt;"",""&amp;" - "&amp;'3.2 Facteurs d''émission'!$E80,"")&amp;" - "&amp;'3.2 Facteurs d''émission'!$D80,"")</f>
        <v>Réseau - Réseau mobile - ARCEP / ICT / Etude de l'AIE</v>
      </c>
      <c r="D80" s="3" t="s">
        <v>675</v>
      </c>
      <c r="E80" s="5" t="s">
        <v>677</v>
      </c>
      <c r="F80" s="37"/>
      <c r="G80" s="27">
        <v>2.47E-2</v>
      </c>
      <c r="H80" s="27">
        <v>0.27300000000000002</v>
      </c>
      <c r="L80" s="28"/>
      <c r="O80"/>
    </row>
    <row r="81" spans="2:15" x14ac:dyDescent="0.3">
      <c r="E81" s="12"/>
      <c r="F81" s="37"/>
      <c r="G81" s="1"/>
      <c r="H81" s="1"/>
      <c r="O81"/>
    </row>
    <row r="82" spans="2:15" ht="14.9" customHeight="1" x14ac:dyDescent="0.3">
      <c r="G82" s="2"/>
      <c r="H82" s="1"/>
      <c r="I82" s="2"/>
      <c r="J82" s="1"/>
      <c r="K82" s="1"/>
      <c r="L82" s="1"/>
      <c r="M82" s="1"/>
      <c r="O82"/>
    </row>
    <row r="83" spans="2:15" ht="15.65" customHeight="1" x14ac:dyDescent="0.3">
      <c r="B83" s="336" t="s">
        <v>180</v>
      </c>
      <c r="C83" s="336"/>
      <c r="D83" s="336"/>
      <c r="E83" s="336"/>
      <c r="F83" s="336"/>
      <c r="G83" s="336"/>
      <c r="H83" s="336"/>
      <c r="I83" s="336"/>
      <c r="J83" s="336"/>
      <c r="K83" s="336"/>
      <c r="L83" s="1"/>
      <c r="M83" s="1"/>
      <c r="O83"/>
    </row>
    <row r="84" spans="2:15" ht="15.65" customHeight="1" x14ac:dyDescent="0.3">
      <c r="B84" s="336"/>
      <c r="C84" s="336"/>
      <c r="D84" s="336"/>
      <c r="E84" s="336"/>
      <c r="F84" s="336"/>
      <c r="G84" s="336"/>
      <c r="H84" s="336"/>
      <c r="I84" s="336"/>
      <c r="J84" s="336"/>
      <c r="K84" s="336"/>
      <c r="L84"/>
      <c r="M84" s="1"/>
      <c r="O84"/>
    </row>
    <row r="85" spans="2:15" x14ac:dyDescent="0.3">
      <c r="G85" s="2"/>
      <c r="H85" s="1"/>
      <c r="I85" s="2"/>
      <c r="J85" s="1"/>
      <c r="K85" s="1"/>
      <c r="L85"/>
      <c r="M85" s="1"/>
      <c r="O85"/>
    </row>
    <row r="86" spans="2:15" x14ac:dyDescent="0.3">
      <c r="L86"/>
    </row>
    <row r="87" spans="2:15" x14ac:dyDescent="0.3">
      <c r="C87" s="337" t="s">
        <v>531</v>
      </c>
      <c r="D87" s="337"/>
      <c r="E87" s="337"/>
      <c r="F87" s="337"/>
      <c r="G87" s="337"/>
      <c r="H87" s="337"/>
      <c r="I87" s="337"/>
      <c r="J87" s="337"/>
      <c r="K87" s="337"/>
      <c r="L87"/>
    </row>
    <row r="88" spans="2:15" x14ac:dyDescent="0.3">
      <c r="C88" s="6" t="s">
        <v>527</v>
      </c>
      <c r="D88" s="6" t="s">
        <v>155</v>
      </c>
      <c r="E88" s="6" t="s">
        <v>181</v>
      </c>
      <c r="F88" s="6" t="s">
        <v>538</v>
      </c>
      <c r="G88" s="6" t="s">
        <v>540</v>
      </c>
      <c r="H88" s="6" t="s">
        <v>779</v>
      </c>
      <c r="I88" s="13" t="s">
        <v>549</v>
      </c>
      <c r="J88" s="13" t="s">
        <v>543</v>
      </c>
      <c r="K88" s="6" t="s">
        <v>541</v>
      </c>
      <c r="L88"/>
    </row>
    <row r="89" spans="2:15" x14ac:dyDescent="0.3">
      <c r="C89" s="34" t="s">
        <v>182</v>
      </c>
      <c r="D89" s="7" t="s">
        <v>183</v>
      </c>
      <c r="E89" s="34" t="s">
        <v>184</v>
      </c>
      <c r="F89" s="32" t="s">
        <v>782</v>
      </c>
      <c r="G89" s="9">
        <v>75</v>
      </c>
      <c r="H89" s="9"/>
      <c r="I89" s="7"/>
      <c r="J89" s="7"/>
      <c r="K89" s="7"/>
      <c r="L89"/>
    </row>
    <row r="90" spans="2:15" x14ac:dyDescent="0.3">
      <c r="C90" s="5" t="str">
        <f>IF('3.2 Facteurs d''émission'!$D90&lt;&gt;"",""&amp;$C$87&amp;IF('3.2 Facteurs d''émission'!$E90&lt;&gt;"",""&amp;" - "&amp;'3.2 Facteurs d''émission'!$E90&amp;" - "&amp;'3.2 Facteurs d''émission'!$F90,"")&amp;" - "&amp;'3.2 Facteurs d''émission'!$D90,"")</f>
        <v/>
      </c>
      <c r="F90" s="12"/>
      <c r="G90" s="1"/>
      <c r="H90" s="1"/>
      <c r="L90"/>
    </row>
    <row r="91" spans="2:15" x14ac:dyDescent="0.3">
      <c r="C91" s="58" t="str">
        <f>IF('3.2 Facteurs d''émission'!$D91&lt;&gt;"",""&amp;$C$87&amp;IF('3.2 Facteurs d''émission'!$E91&lt;&gt;"",""&amp;" - "&amp;'3.2 Facteurs d''émission'!$E91&amp;" - "&amp;'3.2 Facteurs d''émission'!$F91,"")&amp;" - "&amp;'3.2 Facteurs d''émission'!$D91,"")</f>
        <v/>
      </c>
      <c r="D91" s="59"/>
      <c r="E91" s="60"/>
      <c r="F91" s="61"/>
      <c r="G91" s="62"/>
      <c r="H91" s="62"/>
      <c r="I91" s="59"/>
      <c r="J91" s="59"/>
      <c r="K91" s="59"/>
      <c r="L91"/>
    </row>
    <row r="92" spans="2:15" x14ac:dyDescent="0.3">
      <c r="C92" s="5" t="str">
        <f>IF('3.2 Facteurs d''émission'!$D92&lt;&gt;"",""&amp;$C$87&amp;IF('3.2 Facteurs d''émission'!$E92&lt;&gt;"",""&amp;" - "&amp;'3.2 Facteurs d''émission'!$E92&amp;" - "&amp;'3.2 Facteurs d''émission'!$F92,"")&amp;" - "&amp;'3.2 Facteurs d''émission'!$D92,"")</f>
        <v/>
      </c>
      <c r="F92" s="12"/>
      <c r="G92" s="1"/>
      <c r="H92" s="1"/>
      <c r="L92"/>
    </row>
    <row r="93" spans="2:15" x14ac:dyDescent="0.3">
      <c r="L93"/>
    </row>
    <row r="94" spans="2:15" x14ac:dyDescent="0.3">
      <c r="C94" s="337" t="s">
        <v>530</v>
      </c>
      <c r="D94" s="337"/>
      <c r="E94" s="337"/>
      <c r="F94" s="337"/>
      <c r="G94" s="337"/>
      <c r="H94" s="337"/>
      <c r="I94" s="337"/>
      <c r="J94" s="337"/>
      <c r="K94" s="337"/>
      <c r="L94"/>
    </row>
    <row r="95" spans="2:15" x14ac:dyDescent="0.3">
      <c r="C95" s="6" t="s">
        <v>527</v>
      </c>
      <c r="D95" s="6" t="s">
        <v>155</v>
      </c>
      <c r="E95" s="6" t="s">
        <v>535</v>
      </c>
      <c r="F95" s="6" t="s">
        <v>538</v>
      </c>
      <c r="G95" s="6" t="s">
        <v>540</v>
      </c>
      <c r="H95" s="6" t="s">
        <v>779</v>
      </c>
      <c r="I95" s="13" t="s">
        <v>549</v>
      </c>
      <c r="J95" s="13" t="s">
        <v>543</v>
      </c>
      <c r="K95" s="6" t="s">
        <v>541</v>
      </c>
      <c r="L95"/>
    </row>
    <row r="96" spans="2:15" x14ac:dyDescent="0.3">
      <c r="C96" s="34" t="s">
        <v>553</v>
      </c>
      <c r="D96" s="7" t="s">
        <v>670</v>
      </c>
      <c r="E96" s="34"/>
      <c r="F96" s="32" t="s">
        <v>688</v>
      </c>
      <c r="G96" s="9">
        <v>35.523203526800309</v>
      </c>
      <c r="H96" s="9"/>
      <c r="I96" s="7"/>
      <c r="J96" s="7"/>
      <c r="K96" s="7"/>
      <c r="L96"/>
    </row>
    <row r="97" spans="2:13" x14ac:dyDescent="0.3">
      <c r="C97" s="5" t="s">
        <v>552</v>
      </c>
      <c r="D97" s="3" t="s">
        <v>671</v>
      </c>
      <c r="F97" s="12" t="s">
        <v>689</v>
      </c>
      <c r="G97" s="2">
        <v>4890.1800327587998</v>
      </c>
      <c r="H97" s="1"/>
      <c r="L97"/>
    </row>
    <row r="98" spans="2:13" x14ac:dyDescent="0.3">
      <c r="C98" s="58" t="str">
        <f>IF('3.2 Facteurs d''émission'!$D98&lt;&gt;"",""&amp;$C$87&amp;IF('3.2 Facteurs d''émission'!$E98&lt;&gt;"",""&amp;" - "&amp;'3.2 Facteurs d''émission'!$E98&amp;" - "&amp;'3.2 Facteurs d''émission'!$F98,"")&amp;" - "&amp;'3.2 Facteurs d''émission'!$D98,"")</f>
        <v/>
      </c>
      <c r="D98" s="59"/>
      <c r="E98" s="60"/>
      <c r="F98" s="61"/>
      <c r="G98" s="62"/>
      <c r="H98" s="62"/>
      <c r="I98" s="59"/>
      <c r="J98" s="59"/>
      <c r="K98" s="59"/>
      <c r="L98"/>
    </row>
    <row r="99" spans="2:13" x14ac:dyDescent="0.3">
      <c r="C99" s="5" t="str">
        <f>IF('3.2 Facteurs d''émission'!$D99&lt;&gt;"",""&amp;$C$87&amp;IF('3.2 Facteurs d''émission'!$E99&lt;&gt;"",""&amp;" - "&amp;'3.2 Facteurs d''émission'!$E99&amp;" - "&amp;'3.2 Facteurs d''émission'!$F99,"")&amp;" - "&amp;'3.2 Facteurs d''émission'!$D99,"")</f>
        <v/>
      </c>
      <c r="F99" s="12"/>
      <c r="G99" s="1"/>
      <c r="H99" s="1"/>
      <c r="L99"/>
    </row>
    <row r="100" spans="2:13" ht="14.9" customHeight="1" x14ac:dyDescent="0.3">
      <c r="G100" s="2"/>
      <c r="H100" s="1"/>
      <c r="I100" s="2"/>
      <c r="J100" s="1"/>
      <c r="K100" s="1"/>
      <c r="L100"/>
      <c r="M100" s="1"/>
    </row>
    <row r="101" spans="2:13" ht="15.65" customHeight="1" x14ac:dyDescent="0.3">
      <c r="B101" s="336" t="s">
        <v>529</v>
      </c>
      <c r="C101" s="336"/>
      <c r="D101" s="336"/>
      <c r="E101" s="336"/>
      <c r="F101" s="336"/>
      <c r="G101" s="336"/>
      <c r="H101" s="336"/>
      <c r="I101" s="336"/>
      <c r="J101" s="336"/>
      <c r="K101" s="336"/>
      <c r="L101"/>
      <c r="M101" s="1"/>
    </row>
    <row r="102" spans="2:13" ht="15.65" customHeight="1" x14ac:dyDescent="0.3">
      <c r="B102" s="336"/>
      <c r="C102" s="336"/>
      <c r="D102" s="336"/>
      <c r="E102" s="336"/>
      <c r="F102" s="336"/>
      <c r="G102" s="336"/>
      <c r="H102" s="336"/>
      <c r="I102" s="336"/>
      <c r="J102" s="336"/>
      <c r="K102" s="336"/>
      <c r="L102"/>
      <c r="M102" s="1"/>
    </row>
    <row r="103" spans="2:13" x14ac:dyDescent="0.3">
      <c r="G103" s="2"/>
      <c r="H103" s="1"/>
      <c r="I103" s="2"/>
      <c r="J103" s="1"/>
      <c r="K103" s="1"/>
      <c r="L103"/>
      <c r="M103" s="1"/>
    </row>
    <row r="104" spans="2:13" x14ac:dyDescent="0.3">
      <c r="L104"/>
    </row>
    <row r="105" spans="2:13" x14ac:dyDescent="0.3">
      <c r="C105" s="337" t="s">
        <v>529</v>
      </c>
      <c r="D105" s="337"/>
      <c r="E105" s="337"/>
      <c r="F105" s="337"/>
      <c r="G105" s="337"/>
      <c r="H105" s="337"/>
      <c r="I105" s="337"/>
      <c r="J105" s="337"/>
      <c r="K105" s="337"/>
      <c r="L105"/>
    </row>
    <row r="106" spans="2:13" x14ac:dyDescent="0.3">
      <c r="C106" s="6" t="s">
        <v>527</v>
      </c>
      <c r="D106" s="6" t="s">
        <v>155</v>
      </c>
      <c r="E106" s="6" t="s">
        <v>535</v>
      </c>
      <c r="F106" s="6" t="s">
        <v>538</v>
      </c>
      <c r="G106" s="6" t="s">
        <v>540</v>
      </c>
      <c r="H106" s="6" t="s">
        <v>779</v>
      </c>
      <c r="I106" s="13" t="s">
        <v>549</v>
      </c>
      <c r="J106" s="13" t="s">
        <v>543</v>
      </c>
      <c r="K106" s="6" t="s">
        <v>541</v>
      </c>
      <c r="L106"/>
    </row>
    <row r="107" spans="2:13" x14ac:dyDescent="0.3">
      <c r="C107" s="34" t="s">
        <v>551</v>
      </c>
      <c r="D107" s="34"/>
      <c r="E107" s="34" t="s">
        <v>678</v>
      </c>
      <c r="F107" s="34" t="s">
        <v>687</v>
      </c>
      <c r="G107" s="34">
        <f>AVERAGE(G111:G112)</f>
        <v>1.5314999999999999E-2</v>
      </c>
      <c r="H107" s="34"/>
      <c r="I107" s="34"/>
      <c r="J107" s="34"/>
      <c r="K107" s="34"/>
      <c r="L107"/>
    </row>
    <row r="108" spans="2:13" x14ac:dyDescent="0.3">
      <c r="C108" s="5" t="str">
        <f>"Voyage aérien"&amp;" - "&amp;Tableau36[[#This Row],[Source]]&amp;" - "&amp;Tableau36[[#This Row],[Paramètre]]</f>
        <v>Voyage aérien - ADEME 2020, Base carbone - Courte distance, avec pistes</v>
      </c>
      <c r="D108" s="5" t="s">
        <v>167</v>
      </c>
      <c r="E108" s="5" t="s">
        <v>679</v>
      </c>
      <c r="F108" s="5" t="s">
        <v>687</v>
      </c>
      <c r="G108" s="5">
        <v>0.25800000000000001</v>
      </c>
      <c r="H108" s="5"/>
      <c r="I108" s="5"/>
      <c r="J108" s="5"/>
      <c r="K108" s="5"/>
      <c r="L108"/>
    </row>
    <row r="109" spans="2:13" x14ac:dyDescent="0.3">
      <c r="C109" s="34" t="str">
        <f>"Voyage aérien"&amp;" - "&amp;Tableau36[[#This Row],[Source]]&amp;" - "&amp;Tableau36[[#This Row],[Paramètre]]</f>
        <v>Voyage aérien - ADEME 2020, Base carbone - Moyenne distance, avec pistes</v>
      </c>
      <c r="D109" s="34" t="s">
        <v>167</v>
      </c>
      <c r="E109" s="34" t="s">
        <v>680</v>
      </c>
      <c r="F109" s="34" t="s">
        <v>687</v>
      </c>
      <c r="G109" s="34">
        <v>0.187</v>
      </c>
      <c r="H109" s="34"/>
      <c r="I109" s="34"/>
      <c r="J109" s="34"/>
      <c r="K109" s="34"/>
      <c r="L109"/>
    </row>
    <row r="110" spans="2:13" x14ac:dyDescent="0.3">
      <c r="C110" s="5" t="str">
        <f>"Voyage aérien"&amp;" - "&amp;Tableau36[[#This Row],[Source]]&amp;" - "&amp;Tableau36[[#This Row],[Paramètre]]</f>
        <v>Voyage aérien - ADEME 2020, Base carbone - Longue distance, avec pistes</v>
      </c>
      <c r="D110" s="5" t="s">
        <v>167</v>
      </c>
      <c r="E110" s="5" t="s">
        <v>681</v>
      </c>
      <c r="F110" s="5" t="s">
        <v>687</v>
      </c>
      <c r="G110" s="5">
        <v>0.152</v>
      </c>
      <c r="H110" s="5"/>
      <c r="I110" s="5"/>
      <c r="J110" s="5"/>
      <c r="K110" s="5"/>
      <c r="L110"/>
    </row>
    <row r="111" spans="2:13" x14ac:dyDescent="0.3">
      <c r="C111" s="34" t="str">
        <f>"Voyage en train"&amp;" - "&amp;Tableau36[[#This Row],[Source]]&amp;" - "&amp;Tableau36[[#This Row],[Paramètre]]</f>
        <v>Voyage en train - ADEME 2022, Base carbone - Train à grande vitesse, France</v>
      </c>
      <c r="D111" s="34" t="s">
        <v>185</v>
      </c>
      <c r="E111" s="34" t="s">
        <v>682</v>
      </c>
      <c r="F111" s="34" t="s">
        <v>687</v>
      </c>
      <c r="G111" s="34">
        <v>2.9299999999999999E-3</v>
      </c>
      <c r="H111" s="34"/>
      <c r="I111" s="34"/>
      <c r="J111" s="34"/>
      <c r="K111" s="34"/>
      <c r="L111"/>
    </row>
    <row r="112" spans="2:13" x14ac:dyDescent="0.3">
      <c r="C112" s="5" t="str">
        <f>"Voyage en train"&amp;" - "&amp;Tableau36[[#This Row],[Source]]&amp;" - "&amp;Tableau36[[#This Row],[Paramètre]]</f>
        <v>Voyage en train - ADEME 2022, Base carbone - Train express régional (TER), France</v>
      </c>
      <c r="D112" s="5" t="s">
        <v>185</v>
      </c>
      <c r="E112" s="5" t="s">
        <v>683</v>
      </c>
      <c r="F112" s="5" t="s">
        <v>687</v>
      </c>
      <c r="G112" s="5">
        <v>2.7699999999999999E-2</v>
      </c>
      <c r="H112" s="5"/>
      <c r="I112" s="5"/>
      <c r="J112" s="5"/>
      <c r="K112" s="5"/>
      <c r="L112"/>
    </row>
    <row r="113" spans="2:12" x14ac:dyDescent="0.3">
      <c r="C113" s="34" t="str">
        <f>"Voyage en voiture"&amp;" - "&amp;Tableau36[[#This Row],[Source]]&amp;" - "&amp;Tableau36[[#This Row],[Paramètre]]</f>
        <v>Voyage en voiture - ADEME 2022, Base carbone - Trajet court, modèle de voiture moyen</v>
      </c>
      <c r="D113" s="34" t="s">
        <v>185</v>
      </c>
      <c r="E113" s="34" t="s">
        <v>684</v>
      </c>
      <c r="F113" s="34" t="s">
        <v>687</v>
      </c>
      <c r="G113" s="34">
        <v>0.153</v>
      </c>
      <c r="H113" s="34"/>
      <c r="I113" s="34"/>
      <c r="J113" s="34"/>
      <c r="K113" s="34"/>
      <c r="L113"/>
    </row>
    <row r="114" spans="2:12" x14ac:dyDescent="0.3">
      <c r="C114" s="5" t="str">
        <f>"Voyage en voiture"&amp;" - "&amp;Tableau36[[#This Row],[Source]]&amp;" - "&amp;Tableau36[[#This Row],[Paramètre]]</f>
        <v>Voyage en voiture - ADEME 2022, Base carbone - Long trajet, modèle de voiture moyen</v>
      </c>
      <c r="D114" s="5" t="s">
        <v>185</v>
      </c>
      <c r="E114" s="5" t="s">
        <v>685</v>
      </c>
      <c r="F114" s="5" t="s">
        <v>687</v>
      </c>
      <c r="G114" s="5">
        <v>0.13500000000000001</v>
      </c>
      <c r="H114" s="5"/>
      <c r="I114" s="5"/>
      <c r="J114" s="5"/>
      <c r="K114" s="5"/>
      <c r="L114"/>
    </row>
    <row r="115" spans="2:12" x14ac:dyDescent="0.3">
      <c r="C115" s="34" t="str">
        <f>"Voyage en voiture"&amp;" - "&amp;Tableau36[[#This Row],[Source]]&amp;" - "&amp;Tableau36[[#This Row],[Paramètre]]</f>
        <v>Voyage en voiture - ADEME 2022, Base carbone - Trajet mixte, modèle de voiture moyen</v>
      </c>
      <c r="D115" s="34" t="s">
        <v>185</v>
      </c>
      <c r="E115" s="34" t="s">
        <v>686</v>
      </c>
      <c r="F115" s="34" t="s">
        <v>687</v>
      </c>
      <c r="G115" s="34">
        <v>0.14399999999999999</v>
      </c>
      <c r="H115" s="34"/>
      <c r="I115" s="34"/>
      <c r="J115" s="34"/>
      <c r="K115" s="34"/>
      <c r="L115"/>
    </row>
    <row r="116" spans="2:12" x14ac:dyDescent="0.3">
      <c r="D116" s="5"/>
      <c r="G116" s="5"/>
      <c r="H116" s="5"/>
      <c r="I116" s="5"/>
      <c r="J116" s="5"/>
      <c r="K116" s="5"/>
      <c r="L116"/>
    </row>
    <row r="117" spans="2:12" x14ac:dyDescent="0.3">
      <c r="C117" s="5" t="str">
        <f>IF('3.2 Facteurs d''émission'!$D117&lt;&gt;"",""&amp;$C$87&amp;IF('3.2 Facteurs d''émission'!$E117&lt;&gt;"",""&amp;" - "&amp;'3.2 Facteurs d''émission'!$E117&amp;" - "&amp;'3.2 Facteurs d''émission'!$F117,"")&amp;" - "&amp;'3.2 Facteurs d''émission'!$D117,"")</f>
        <v/>
      </c>
      <c r="F117" s="12"/>
      <c r="G117" s="1"/>
      <c r="H117" s="1"/>
      <c r="L117"/>
    </row>
    <row r="118" spans="2:12" x14ac:dyDescent="0.3">
      <c r="F118" s="12"/>
      <c r="G118" s="1"/>
      <c r="H118" s="1"/>
      <c r="L118"/>
    </row>
    <row r="119" spans="2:12" ht="14.5" customHeight="1" x14ac:dyDescent="0.3">
      <c r="B119" s="335" t="s">
        <v>528</v>
      </c>
      <c r="C119" s="335"/>
      <c r="D119" s="335"/>
      <c r="E119" s="335"/>
      <c r="F119" s="335"/>
      <c r="G119" s="335"/>
      <c r="H119" s="335"/>
      <c r="I119" s="335"/>
      <c r="J119" s="335"/>
      <c r="K119" s="335"/>
      <c r="L119" s="1"/>
    </row>
    <row r="120" spans="2:12" ht="14.5" customHeight="1" x14ac:dyDescent="0.3">
      <c r="B120" s="335"/>
      <c r="C120" s="335"/>
      <c r="D120" s="335"/>
      <c r="E120" s="335"/>
      <c r="F120" s="335"/>
      <c r="G120" s="335"/>
      <c r="H120" s="335"/>
      <c r="I120" s="335"/>
      <c r="J120" s="335"/>
      <c r="K120" s="335"/>
      <c r="L120" s="1"/>
    </row>
    <row r="121" spans="2:12" x14ac:dyDescent="0.3">
      <c r="C121" s="3"/>
      <c r="D121" s="5"/>
      <c r="E121" s="3"/>
      <c r="G121" s="5"/>
      <c r="H121" s="2"/>
      <c r="I121" s="1"/>
      <c r="J121" s="2"/>
      <c r="K121" s="1"/>
      <c r="L121" s="1"/>
    </row>
    <row r="122" spans="2:12" x14ac:dyDescent="0.3">
      <c r="C122" s="3"/>
      <c r="D122" s="5"/>
      <c r="E122" s="3"/>
      <c r="G122" s="5"/>
    </row>
    <row r="123" spans="2:12" x14ac:dyDescent="0.3">
      <c r="C123" s="337" t="s">
        <v>528</v>
      </c>
      <c r="D123" s="337"/>
      <c r="E123" s="337"/>
      <c r="F123" s="337"/>
      <c r="G123" s="337"/>
      <c r="H123" s="337"/>
      <c r="I123" s="337"/>
      <c r="J123" s="337"/>
      <c r="K123" s="337"/>
    </row>
    <row r="124" spans="2:12" x14ac:dyDescent="0.3">
      <c r="C124" s="6" t="s">
        <v>527</v>
      </c>
      <c r="D124" s="6" t="s">
        <v>155</v>
      </c>
      <c r="E124" s="6" t="s">
        <v>145</v>
      </c>
      <c r="F124" s="6" t="s">
        <v>536</v>
      </c>
      <c r="G124" s="6" t="s">
        <v>539</v>
      </c>
      <c r="H124" s="6" t="s">
        <v>690</v>
      </c>
      <c r="I124" s="13" t="s">
        <v>549</v>
      </c>
      <c r="J124" s="13" t="s">
        <v>543</v>
      </c>
      <c r="K124" s="6" t="s">
        <v>545</v>
      </c>
    </row>
    <row r="125" spans="2:12" ht="28" x14ac:dyDescent="0.3">
      <c r="C125" s="34" t="str">
        <f>"Clé USB"&amp;" - "&amp;Tableau3613[[#This Row],[Source]]</f>
        <v>Clé USB - ADEME 2023, Base carbone</v>
      </c>
      <c r="D125" s="7" t="s">
        <v>198</v>
      </c>
      <c r="E125" s="34" t="s">
        <v>700</v>
      </c>
      <c r="F125" s="34">
        <v>5</v>
      </c>
      <c r="G125" s="34">
        <v>2.91</v>
      </c>
      <c r="H125" s="134">
        <v>3.6499999999999998E-2</v>
      </c>
      <c r="I125" s="34"/>
      <c r="J125" s="34"/>
      <c r="K125" s="136" t="s">
        <v>201</v>
      </c>
    </row>
    <row r="126" spans="2:12" s="4" customFormat="1" ht="28" x14ac:dyDescent="0.3">
      <c r="C126" s="36" t="str">
        <f>"Disque dur externe"&amp;" - "&amp;Tableau3613[[#This Row],[Source]]</f>
        <v>Disque dur externe - ADEME 2023, Base carbone</v>
      </c>
      <c r="D126" s="36" t="s">
        <v>198</v>
      </c>
      <c r="E126" s="36" t="s">
        <v>699</v>
      </c>
      <c r="F126" s="36">
        <v>5</v>
      </c>
      <c r="G126" s="36">
        <v>11.5</v>
      </c>
      <c r="H126" s="320">
        <v>2.8277777777777802</v>
      </c>
      <c r="I126" s="36"/>
      <c r="J126" s="36"/>
      <c r="K126" s="321" t="s">
        <v>201</v>
      </c>
    </row>
    <row r="127" spans="2:12" ht="28" x14ac:dyDescent="0.3">
      <c r="C127" s="34" t="str">
        <f>"SSD Externe"&amp;" - "&amp;Tableau3613[[#This Row],[Source]]</f>
        <v>SSD Externe - ADEME 2023, Base carbone</v>
      </c>
      <c r="D127" s="34" t="s">
        <v>198</v>
      </c>
      <c r="E127" s="34" t="s">
        <v>698</v>
      </c>
      <c r="F127" s="34">
        <v>5</v>
      </c>
      <c r="G127" s="34">
        <v>135</v>
      </c>
      <c r="H127" s="35">
        <v>0.37</v>
      </c>
      <c r="I127" s="34"/>
      <c r="J127" s="34"/>
      <c r="K127" s="136" t="s">
        <v>201</v>
      </c>
    </row>
    <row r="128" spans="2:12" s="4" customFormat="1" ht="28" x14ac:dyDescent="0.3">
      <c r="C128" s="36" t="str">
        <f>"Modem"&amp;" - "&amp;Tableau3613[[#This Row],[Source]]</f>
        <v>Modem - ADEME 2023, Base carbone</v>
      </c>
      <c r="D128" s="36" t="s">
        <v>198</v>
      </c>
      <c r="E128" s="36" t="s">
        <v>697</v>
      </c>
      <c r="F128" s="36">
        <v>5</v>
      </c>
      <c r="G128" s="36">
        <v>60.8</v>
      </c>
      <c r="H128" s="38">
        <v>73</v>
      </c>
      <c r="I128" s="36"/>
      <c r="J128" s="36"/>
      <c r="K128" s="321" t="s">
        <v>201</v>
      </c>
    </row>
    <row r="129" spans="3:11" ht="28" x14ac:dyDescent="0.3">
      <c r="C129" s="34" t="str">
        <f>"Thermostat connecté"&amp;" - "&amp;Tableau3613[[#This Row],[Source]]</f>
        <v>Thermostat connecté - ADEME 2023, Base carbone</v>
      </c>
      <c r="D129" s="34" t="s">
        <v>198</v>
      </c>
      <c r="E129" s="34" t="s">
        <v>696</v>
      </c>
      <c r="F129" s="34">
        <v>12</v>
      </c>
      <c r="G129" s="135">
        <v>6.9232975012228897</v>
      </c>
      <c r="H129" s="134">
        <v>15.4938888888889</v>
      </c>
      <c r="I129" s="34"/>
      <c r="J129" s="34"/>
      <c r="K129" s="136" t="s">
        <v>201</v>
      </c>
    </row>
    <row r="130" spans="3:11" s="4" customFormat="1" ht="34" customHeight="1" x14ac:dyDescent="0.3">
      <c r="C130" s="36" t="str">
        <f>"Capteur industriel"&amp;" - "&amp;Tableau3613[[#This Row],[Source]]</f>
        <v>Capteur industriel - ADEME 2023, Base carbone</v>
      </c>
      <c r="D130" s="36" t="s">
        <v>198</v>
      </c>
      <c r="E130" s="36" t="s">
        <v>695</v>
      </c>
      <c r="F130" s="36">
        <v>5</v>
      </c>
      <c r="G130" s="322">
        <v>6.1144264375172197</v>
      </c>
      <c r="H130" s="38">
        <v>0</v>
      </c>
      <c r="I130" s="36"/>
      <c r="J130" s="36"/>
      <c r="K130" s="321" t="s">
        <v>201</v>
      </c>
    </row>
    <row r="131" spans="3:11" ht="70" x14ac:dyDescent="0.3">
      <c r="C131" s="34" t="str">
        <f>"Casque de réalité virtuelle LCD"&amp;" - "&amp;Tableau3613[[#This Row],[Source]]</f>
        <v>Casque de réalité virtuelle LCD - ADEME 2023, Base carbone</v>
      </c>
      <c r="D131" s="34" t="s">
        <v>198</v>
      </c>
      <c r="E131" s="34" t="s">
        <v>200</v>
      </c>
      <c r="F131" s="34">
        <v>5</v>
      </c>
      <c r="G131" s="34">
        <v>49.32</v>
      </c>
      <c r="H131" s="134">
        <v>0.70740800000000004</v>
      </c>
      <c r="I131" s="34"/>
      <c r="J131" s="34"/>
      <c r="K131" s="136" t="s">
        <v>201</v>
      </c>
    </row>
    <row r="132" spans="3:11" s="4" customFormat="1" ht="70" x14ac:dyDescent="0.3">
      <c r="C132" s="36" t="str">
        <f>"Casque de réalité virtuelle OLED"&amp;" - "&amp;Tableau3613[[#This Row],[Source]]</f>
        <v>Casque de réalité virtuelle OLED - ADEME 2023, Base carbone</v>
      </c>
      <c r="D132" s="36" t="s">
        <v>198</v>
      </c>
      <c r="E132" s="36" t="s">
        <v>200</v>
      </c>
      <c r="F132" s="36">
        <v>5</v>
      </c>
      <c r="G132" s="36">
        <v>91.42</v>
      </c>
      <c r="H132" s="320">
        <v>0.726128</v>
      </c>
      <c r="I132" s="36"/>
      <c r="J132" s="36"/>
      <c r="K132" s="321" t="s">
        <v>201</v>
      </c>
    </row>
    <row r="133" spans="3:11" ht="29.5" customHeight="1" x14ac:dyDescent="0.3">
      <c r="C133" s="34" t="str">
        <f>"Contrôleur pour casque de réalité virtuelle"&amp;"-"&amp;Tableau3613[[#This Row],[Source]]</f>
        <v>Contrôleur pour casque de réalité virtuelle-ADEME 2023, Base carbone</v>
      </c>
      <c r="D133" s="34" t="s">
        <v>198</v>
      </c>
      <c r="E133" s="34"/>
      <c r="F133" s="34">
        <v>5</v>
      </c>
      <c r="G133" s="34"/>
      <c r="H133" s="34"/>
      <c r="I133" s="34"/>
      <c r="J133" s="34"/>
      <c r="K133" s="136" t="s">
        <v>201</v>
      </c>
    </row>
    <row r="134" spans="3:11" s="4" customFormat="1" ht="42" x14ac:dyDescent="0.3">
      <c r="C134" s="36" t="str">
        <f>"Alimentation externe pour ordinateur portable"&amp;"-"&amp;Tableau3613[[#This Row],[Source]]</f>
        <v>Alimentation externe pour ordinateur portable-ADEME 2023, Base carbone</v>
      </c>
      <c r="D134" s="36" t="s">
        <v>198</v>
      </c>
      <c r="E134" s="36" t="s">
        <v>694</v>
      </c>
      <c r="F134" s="36" t="s">
        <v>199</v>
      </c>
      <c r="G134" s="322">
        <v>3.5055777421701002</v>
      </c>
      <c r="H134" s="38">
        <v>0</v>
      </c>
      <c r="I134" s="36"/>
      <c r="J134" s="36"/>
      <c r="K134" s="321" t="s">
        <v>201</v>
      </c>
    </row>
    <row r="135" spans="3:11" ht="28" x14ac:dyDescent="0.3">
      <c r="C135" s="34" t="str">
        <f>"Alimentation externe pour smartphones et tablettes"&amp;"-"&amp;Tableau3613[[#This Row],[Source]]</f>
        <v>Alimentation externe pour smartphones et tablettes-ADEME 2023, Base carbone</v>
      </c>
      <c r="D135" s="34" t="s">
        <v>198</v>
      </c>
      <c r="E135" s="34" t="s">
        <v>693</v>
      </c>
      <c r="F135" s="34" t="s">
        <v>199</v>
      </c>
      <c r="G135" s="135">
        <v>0.34867671405950501</v>
      </c>
      <c r="H135" s="35">
        <v>0</v>
      </c>
      <c r="I135" s="34"/>
      <c r="J135" s="34"/>
      <c r="K135" s="136" t="s">
        <v>201</v>
      </c>
    </row>
    <row r="136" spans="3:11" s="4" customFormat="1" ht="76.5" customHeight="1" x14ac:dyDescent="0.3">
      <c r="C136" s="36" t="str">
        <f>"Configuration personnelle de la télévision"&amp;"-"&amp;Tableau3613[[#This Row],[Source]]</f>
        <v>Configuration personnelle de la télévision-ADEME 2023, Base carbone</v>
      </c>
      <c r="D136" s="36" t="s">
        <v>198</v>
      </c>
      <c r="E136" s="36" t="s">
        <v>692</v>
      </c>
      <c r="F136" s="36">
        <v>8</v>
      </c>
      <c r="G136" s="322">
        <v>325.029</v>
      </c>
      <c r="H136" s="38">
        <v>179</v>
      </c>
      <c r="I136" s="36"/>
      <c r="J136" s="36"/>
      <c r="K136" s="321" t="s">
        <v>201</v>
      </c>
    </row>
    <row r="137" spans="3:11" ht="42" x14ac:dyDescent="0.3">
      <c r="C137" s="34" t="str">
        <f>"Configuration personnelle de la télévision"&amp;"-"&amp;Tableau3613[[#This Row],[Source]]</f>
        <v>Configuration personnelle de la télévision-ADEME 2023, Base carbone</v>
      </c>
      <c r="D137" s="34" t="s">
        <v>198</v>
      </c>
      <c r="E137" s="34" t="s">
        <v>691</v>
      </c>
      <c r="F137" s="34">
        <v>8</v>
      </c>
      <c r="G137" s="135">
        <v>254.96066099999999</v>
      </c>
      <c r="H137" s="35">
        <v>179</v>
      </c>
      <c r="I137" s="34"/>
      <c r="J137" s="34"/>
      <c r="K137" s="136" t="s">
        <v>201</v>
      </c>
    </row>
  </sheetData>
  <mergeCells count="15">
    <mergeCell ref="C123:K123"/>
    <mergeCell ref="B119:K120"/>
    <mergeCell ref="B101:K102"/>
    <mergeCell ref="C105:K105"/>
    <mergeCell ref="C94:K94"/>
    <mergeCell ref="B39:R41"/>
    <mergeCell ref="B2:K3"/>
    <mergeCell ref="C87:K87"/>
    <mergeCell ref="C66:K66"/>
    <mergeCell ref="T45:V45"/>
    <mergeCell ref="B83:K84"/>
    <mergeCell ref="C77:L77"/>
    <mergeCell ref="C72:L72"/>
    <mergeCell ref="C61:K61"/>
    <mergeCell ref="C56:K56"/>
  </mergeCells>
  <phoneticPr fontId="12" type="noConversion"/>
  <hyperlinks>
    <hyperlink ref="Q47" r:id="rId1" xr:uid="{49B3342B-1A0B-4D88-A078-301DD26DDE7C}"/>
    <hyperlink ref="M79" r:id="rId2" xr:uid="{F80DD474-E47F-417E-8464-BC8618D91B89}"/>
    <hyperlink ref="Q50" r:id="rId3" xr:uid="{805B09F1-2ECA-4A45-A830-D9AEC9753414}"/>
    <hyperlink ref="Q52" r:id="rId4" xr:uid="{C263A879-8CD1-4DE9-BD55-1FB3E8850E95}"/>
    <hyperlink ref="Q51" r:id="rId5" xr:uid="{030BEA42-8B50-4C67-AD74-92DBBCB9ACBC}"/>
    <hyperlink ref="Q49" r:id="rId6" xr:uid="{E7C190D6-C570-4376-8FC7-2BAB692A3B2C}"/>
    <hyperlink ref="K125" r:id="rId7" xr:uid="{E711619C-B362-4179-8431-FF2FF42071EB}"/>
    <hyperlink ref="J8" r:id="rId8" xr:uid="{A70D5534-AF13-4955-AC00-173D0E15ECED}"/>
    <hyperlink ref="J22" r:id="rId9" xr:uid="{8A3DACB5-F142-4529-9161-4D9265D63682}"/>
    <hyperlink ref="J27" r:id="rId10" xr:uid="{6512BE98-A06C-4BB4-9EAC-8651D70FFDFB}"/>
    <hyperlink ref="J34" r:id="rId11" xr:uid="{C1B564F3-59C5-406E-9968-CA970E4EA039}"/>
    <hyperlink ref="J58" r:id="rId12" xr:uid="{B43D0D26-782F-4B07-A360-201DD09B8BC7}"/>
    <hyperlink ref="J63" r:id="rId13" xr:uid="{52437432-DC86-422D-B5DC-47CF2357549E}"/>
    <hyperlink ref="K126:K137" r:id="rId14" display="https://base-empreinte.ademe.fr/donnees/jeu-donnees" xr:uid="{EF806D8D-CC2D-4ACB-82B7-E25BDC2ADD12}"/>
  </hyperlinks>
  <pageMargins left="0.7" right="0.7" top="0.75" bottom="0.75" header="0.3" footer="0.3"/>
  <pageSetup paperSize="9" orientation="portrait" r:id="rId15"/>
  <legacyDrawing r:id="rId16"/>
  <tableParts count="15">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9C8E3-21D3-4800-A6A1-6B7BE168AF82}">
  <sheetPr>
    <tabColor theme="8"/>
  </sheetPr>
  <dimension ref="A1:D22"/>
  <sheetViews>
    <sheetView topLeftCell="A12" zoomScale="70" zoomScaleNormal="70" workbookViewId="0">
      <selection activeCell="A10" sqref="A10"/>
    </sheetView>
  </sheetViews>
  <sheetFormatPr baseColWidth="10" defaultColWidth="8.75" defaultRowHeight="14" x14ac:dyDescent="0.3"/>
  <cols>
    <col min="1" max="1" width="37.25" bestFit="1" customWidth="1"/>
    <col min="2" max="2" width="37.1640625" style="21" customWidth="1"/>
    <col min="3" max="3" width="71.4140625" style="21" customWidth="1"/>
    <col min="4" max="4" width="12.5" customWidth="1"/>
  </cols>
  <sheetData>
    <row r="1" spans="1:4" x14ac:dyDescent="0.3">
      <c r="B1"/>
      <c r="C1"/>
    </row>
    <row r="2" spans="1:4" ht="15.5" x14ac:dyDescent="0.35">
      <c r="A2" s="127" t="s">
        <v>215</v>
      </c>
      <c r="B2"/>
      <c r="C2"/>
    </row>
    <row r="3" spans="1:4" ht="20" customHeight="1" x14ac:dyDescent="0.35">
      <c r="B3" s="113" t="s">
        <v>216</v>
      </c>
      <c r="C3"/>
    </row>
    <row r="4" spans="1:4" ht="20" customHeight="1" x14ac:dyDescent="0.3">
      <c r="B4" s="114" t="s">
        <v>217</v>
      </c>
      <c r="C4"/>
    </row>
    <row r="5" spans="1:4" ht="20" customHeight="1" x14ac:dyDescent="0.3">
      <c r="B5" s="137" t="s">
        <v>219</v>
      </c>
      <c r="C5"/>
    </row>
    <row r="6" spans="1:4" ht="20" customHeight="1" x14ac:dyDescent="0.3">
      <c r="B6" s="115" t="s">
        <v>218</v>
      </c>
      <c r="C6"/>
    </row>
    <row r="7" spans="1:4" ht="20" customHeight="1" x14ac:dyDescent="0.3">
      <c r="B7" s="116" t="s">
        <v>223</v>
      </c>
      <c r="C7"/>
    </row>
    <row r="8" spans="1:4" ht="20" customHeight="1" x14ac:dyDescent="0.3">
      <c r="B8" s="117" t="s">
        <v>225</v>
      </c>
      <c r="C8"/>
    </row>
    <row r="9" spans="1:4" x14ac:dyDescent="0.3">
      <c r="B9"/>
      <c r="C9"/>
    </row>
    <row r="10" spans="1:4" ht="57" customHeight="1" x14ac:dyDescent="0.3">
      <c r="A10" s="236" t="s">
        <v>769</v>
      </c>
    </row>
    <row r="11" spans="1:4" x14ac:dyDescent="0.3">
      <c r="B11" s="48" t="s">
        <v>186</v>
      </c>
      <c r="C11" s="49" t="s">
        <v>523</v>
      </c>
      <c r="D11" s="50" t="s">
        <v>524</v>
      </c>
    </row>
    <row r="12" spans="1:4" ht="35" customHeight="1" x14ac:dyDescent="0.3">
      <c r="B12" s="239">
        <v>0</v>
      </c>
      <c r="C12" s="25" t="s">
        <v>516</v>
      </c>
      <c r="D12" s="240">
        <v>2</v>
      </c>
    </row>
    <row r="13" spans="1:4" ht="35" customHeight="1" x14ac:dyDescent="0.3">
      <c r="B13" s="239">
        <v>1</v>
      </c>
      <c r="C13" s="25" t="s">
        <v>517</v>
      </c>
      <c r="D13" s="240">
        <v>50</v>
      </c>
    </row>
    <row r="14" spans="1:4" ht="35" customHeight="1" x14ac:dyDescent="0.3">
      <c r="B14" s="241">
        <v>2</v>
      </c>
      <c r="C14" s="25" t="s">
        <v>518</v>
      </c>
      <c r="D14" s="242">
        <f>1/18</f>
        <v>5.5555555555555552E-2</v>
      </c>
    </row>
    <row r="15" spans="1:4" ht="35" customHeight="1" x14ac:dyDescent="0.3">
      <c r="B15" s="243">
        <v>3.1</v>
      </c>
      <c r="C15" s="25" t="s">
        <v>519</v>
      </c>
      <c r="D15" s="242">
        <v>2.5000000000000001E-3</v>
      </c>
    </row>
    <row r="16" spans="1:4" ht="35" customHeight="1" x14ac:dyDescent="0.3">
      <c r="B16" s="241">
        <v>3.2</v>
      </c>
      <c r="C16" s="25" t="s">
        <v>520</v>
      </c>
      <c r="D16" s="242">
        <v>7.4999999999999997E-3</v>
      </c>
    </row>
    <row r="17" spans="2:4" ht="35" customHeight="1" x14ac:dyDescent="0.3">
      <c r="B17" s="241">
        <v>3.3</v>
      </c>
      <c r="C17" s="25" t="s">
        <v>521</v>
      </c>
      <c r="D17" s="242">
        <v>7.4999999999999997E-3</v>
      </c>
    </row>
    <row r="18" spans="2:4" ht="35" customHeight="1" x14ac:dyDescent="0.3">
      <c r="B18" s="244">
        <v>3.4</v>
      </c>
      <c r="C18" s="245" t="s">
        <v>522</v>
      </c>
      <c r="D18" s="246">
        <v>2.2499999999999999E-2</v>
      </c>
    </row>
    <row r="20" spans="2:4" x14ac:dyDescent="0.3">
      <c r="B20"/>
    </row>
    <row r="21" spans="2:4" x14ac:dyDescent="0.3">
      <c r="B21"/>
    </row>
    <row r="22" spans="2:4" x14ac:dyDescent="0.3">
      <c r="B22"/>
    </row>
  </sheetData>
  <conditionalFormatting sqref="B11:D11">
    <cfRule type="cellIs" dxfId="4" priority="1" operator="equal">
      <formula>"No"</formula>
    </cfRule>
    <cfRule type="cellIs" dxfId="3" priority="2" operator="equal">
      <formula>"Yes"</formula>
    </cfRule>
  </conditionalFormatting>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F6864-3294-4C57-8B3A-470CCE74CDD2}">
  <sheetPr>
    <tabColor theme="5" tint="0.39997558519241921"/>
  </sheetPr>
  <dimension ref="A1:S90"/>
  <sheetViews>
    <sheetView showGridLines="0" zoomScale="70" zoomScaleNormal="70" workbookViewId="0">
      <selection activeCell="C99" sqref="C99"/>
    </sheetView>
  </sheetViews>
  <sheetFormatPr baseColWidth="10" defaultColWidth="8.75" defaultRowHeight="14" x14ac:dyDescent="0.3"/>
  <cols>
    <col min="1" max="1" width="31.58203125" style="277" customWidth="1"/>
    <col min="2" max="2" width="16.4140625" style="277" customWidth="1"/>
    <col min="3" max="3" width="64.1640625" style="277" customWidth="1"/>
    <col min="4" max="4" width="32.75" style="277" customWidth="1"/>
    <col min="5" max="5" width="27.1640625" style="277" customWidth="1"/>
    <col min="6" max="6" width="27.75" style="277" customWidth="1"/>
    <col min="7" max="7" width="26.5" style="277" customWidth="1"/>
    <col min="8" max="8" width="19.75" style="277" customWidth="1"/>
    <col min="9" max="9" width="17.1640625" style="277" customWidth="1"/>
    <col min="10" max="10" width="30.1640625" style="277" customWidth="1"/>
    <col min="11" max="11" width="20.75" style="277" customWidth="1"/>
    <col min="12" max="12" width="25.1640625" style="277" customWidth="1"/>
    <col min="13" max="13" width="21.75" style="277" customWidth="1"/>
    <col min="14" max="14" width="16.75" style="277" customWidth="1"/>
    <col min="15" max="15" width="17.1640625" style="277" customWidth="1"/>
    <col min="16" max="16" width="18.5" style="277" customWidth="1"/>
    <col min="17" max="17" width="14.4140625" style="278" customWidth="1"/>
    <col min="18" max="19" width="20.5" style="278" customWidth="1"/>
    <col min="20" max="16384" width="8.75" style="278"/>
  </cols>
  <sheetData>
    <row r="1" spans="1:17" x14ac:dyDescent="0.3">
      <c r="A1" s="101" t="s">
        <v>187</v>
      </c>
      <c r="B1" s="43">
        <f>'2.1 Cartographie dispositifs'!C11+'2.2 Cartographie réseau'!C11+'2.3 Carto serveurs sauvegarde'!C11+'2.4 Carto Infra logiciels Cyber'!C11+'2.5 Carto services externes'!C11+'2.6 Cartographie voyages'!C11+'2.7 Carto équipements Non Cyber'!C11</f>
        <v>5620.08258668915</v>
      </c>
      <c r="G1" s="278"/>
      <c r="H1" s="278"/>
      <c r="I1" s="278"/>
      <c r="J1" s="278"/>
      <c r="K1" s="278"/>
      <c r="L1" s="278"/>
    </row>
    <row r="2" spans="1:17" x14ac:dyDescent="0.3">
      <c r="A2" s="101" t="s">
        <v>448</v>
      </c>
      <c r="B2" s="43" cm="1">
        <f t="array" ref="B2">Scope2_Devices+Scope2_External+Scope2_Network+Scope2_Servers+Scope2_Solutions+Scope2_Travel+Scope2_Non_Cyber</f>
        <v>71.335594173320004</v>
      </c>
      <c r="G2" s="278"/>
      <c r="H2" s="278"/>
      <c r="I2" s="278"/>
      <c r="J2" s="278"/>
      <c r="K2" s="278"/>
      <c r="L2" s="278"/>
    </row>
    <row r="3" spans="1:17" x14ac:dyDescent="0.3">
      <c r="A3" s="101" t="s">
        <v>449</v>
      </c>
      <c r="B3" s="43" cm="1">
        <f t="array" ref="B3">Scope3_Devices+Scope3_External+Scope3_Network+Scope3_Servers+Scope3_Solutions+Scope3_Travel+Scope3_Non_Cyber</f>
        <v>5546.1107854758293</v>
      </c>
      <c r="F3" s="279"/>
      <c r="G3" s="279"/>
      <c r="H3" s="279"/>
      <c r="I3" s="279"/>
      <c r="J3" s="279"/>
      <c r="K3" s="279"/>
      <c r="L3" s="279"/>
      <c r="M3" s="279"/>
      <c r="N3" s="279"/>
      <c r="O3" s="279"/>
      <c r="P3" s="279"/>
      <c r="Q3" s="279"/>
    </row>
    <row r="18" spans="1:19" x14ac:dyDescent="0.3">
      <c r="Q18" s="277"/>
      <c r="R18" s="277"/>
      <c r="S18" s="277"/>
    </row>
    <row r="20" spans="1:19" ht="42" x14ac:dyDescent="0.3">
      <c r="A20" s="280" t="s">
        <v>450</v>
      </c>
      <c r="B20" s="281" t="s">
        <v>298</v>
      </c>
      <c r="C20" s="280" t="s">
        <v>451</v>
      </c>
      <c r="D20" s="218" t="s">
        <v>452</v>
      </c>
      <c r="E20" s="219" t="s">
        <v>453</v>
      </c>
      <c r="F20" s="282" t="s">
        <v>454</v>
      </c>
      <c r="G20" s="282" t="s">
        <v>455</v>
      </c>
      <c r="H20" s="283" t="s">
        <v>456</v>
      </c>
      <c r="I20" s="283" t="s">
        <v>407</v>
      </c>
      <c r="J20" s="282" t="s">
        <v>457</v>
      </c>
      <c r="K20" s="282" t="s">
        <v>409</v>
      </c>
      <c r="L20" s="283" t="s">
        <v>458</v>
      </c>
      <c r="M20" s="283" t="s">
        <v>459</v>
      </c>
      <c r="N20" s="282" t="s">
        <v>460</v>
      </c>
      <c r="O20" s="282" t="s">
        <v>411</v>
      </c>
      <c r="P20" s="283" t="s">
        <v>461</v>
      </c>
      <c r="Q20" s="283" t="s">
        <v>462</v>
      </c>
      <c r="R20" s="282" t="s">
        <v>413</v>
      </c>
      <c r="S20" s="282" t="s">
        <v>463</v>
      </c>
    </row>
    <row r="21" spans="1:19" ht="73.5" customHeight="1" x14ac:dyDescent="0.3">
      <c r="A21" s="284" t="s">
        <v>0</v>
      </c>
      <c r="B21" s="285" t="s">
        <v>14</v>
      </c>
      <c r="C21" s="284" t="s">
        <v>464</v>
      </c>
      <c r="D2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1" s="287">
        <f>Tableau_de_bord_par_contrôle[[#This Row],[Émissions annuelles totales de CO2e(kgCO2e)]]/(1000*Total)</f>
        <v>0</v>
      </c>
      <c r="F21" s="288">
        <f xml:space="preserve">
SUMIF(Cartographie_des_appareils_poste_de_travail_ordinateur_portable[Contrôle NIST],B21,Cartographie_des_appareils_poste_de_travail_ordinateur_portable[Émissions totales (kgC02e)])
+SUMIF(Cartographie_des_appareils_poste_de_travail_ordinateur_de_bureau[Contrôle NIST],B21,Cartographie_des_appareils_poste_de_travail_ordinateur_de_bureau[Émissions totales (kgC02e)])
+SUMIF(Cartographie_des_appareils_écrans[Contrôle NIST],B21,Cartographie_des_appareils_écrans[Émissions totales (kgC02e)])+SUMIF(Cartographie_des_appareils_Smartphones[Contrôle NIST],B21,Cartographie_des_appareils_Smartphones[Émissions totales (kgC02e)])</f>
        <v>0</v>
      </c>
      <c r="G21" s="289" t="str" cm="1">
        <f t="array" ref="G21">_xlfn.CONCAT(
IFERROR(_xlfn.CONCAT(_xlfn._xlws.FILTER(Cartographie_des_appareils_poste_de_travail_ordinateur_portable[Champ d''application],Cartographie_des_appareils_poste_de_travail_ordinateur_portable[Contrôle NIST]=B21)&amp;CHAR(10)),""),
IFERROR(_xlfn.CONCAT(_xlfn._xlws.FILTER(#REF!,#REF!=B21)&amp;CHAR(10)),""),
IFERROR(_xlfn.CONCAT(_xlfn._xlws.FILTER(Cartographie_des_appareils_écrans[Champ d''application],Cartographie_des_appareils_écrans[Contrôle NIST]=B21)&amp;CHAR(10)),""),
IFERROR(_xlfn.CONCAT(_xlfn._xlws.FILTER(Cartographie_des_appareils_Smartphones[Champ d''application],Cartographie_des_appareils_Smartphones[Contrôle NIST]=B21)&amp;CHAR(10)),"")
)</f>
        <v/>
      </c>
      <c r="H21" s="288">
        <f>SUMIF(Cartographie_des_appareils[Contrôle NIST],B21,Cartographie_des_appareils[Émissions totales (kgC02e)])</f>
        <v>0</v>
      </c>
      <c r="I21" s="289" t="str" cm="1">
        <f t="array" ref="I21">IFERROR(_xlfn.CONCAT(_xlfn._xlws.FILTER(Cartographie_des_appareils[Champ d''application],Cartographie_des_appareils[Contrôle NIST]=B21)&amp;CHAR(10)),"")</f>
        <v/>
      </c>
      <c r="J21" s="288">
        <f>SUMIF(Cartographie_des_serveurs_de_sauvegarde[Contrôle NIST],B21,Cartographie_des_serveurs_de_sauvegarde[Émissions totales (kgC02e)])</f>
        <v>0</v>
      </c>
      <c r="K21" s="289" t="str" cm="1">
        <f t="array" ref="K21">_xlfn.CONCAT(
IFERROR(_xlfn.CONCAT(_xlfn._xlws.FILTER(Cartographie_non_cyber_serveurs[Champ d''application],Cartographie_non_cyber_serveurs[Contrôle NIST]=B21)&amp;CHAR(10)),""),
IFERROR(_xlfn.CONCAT(_xlfn._xlws.FILTER(Cartographie_des_serveurs_de_sauvegarde[Champ d''application],Cartographie_des_serveurs_de_sauvegarde[Contrôle NIST]=B21)&amp;CHAR(10)),""),
)</f>
        <v/>
      </c>
      <c r="L21" s="288">
        <f>SUMIF(Cartographie_Solutions_Sur_Site[Contrôle NIST],B21,Cartographie_Solutions_Sur_Site[Émissions totales de carbone du NIST (kgCO2e)])
+SUMIF(Cartographie_Solutions_sur_Cloud[Contrôle NIST],B21,Cartographie_Solutions_sur_Cloud[Émissions totales de carbone du NIST (kgCO2e)])</f>
        <v>0</v>
      </c>
      <c r="M21" s="289" t="str" cm="1">
        <f t="array" ref="M21">_xlfn.CONCAT(
IFERROR(_xlfn.CONCAT(_xlfn._xlws.FILTER(Cartographie_Solutions_Sur_Site[Nom de l''application],#REF!=B21)&amp;CHAR(10)),""),
IFERROR(_xlfn.CONCAT(_xlfn._xlws.FILTER(Cartographie_Solutions_sur_Cloud[Nom de l''application],#REF!=B21)&amp;CHAR(10)),"")
)</f>
        <v/>
      </c>
      <c r="N21" s="288">
        <f>SUMIF(Cartographie_des_TM_externes[Contrôle NIST],B21,Cartographie_des_TM_externes[Émissions de carbone du NIST (kgCO2e)])
+SUMIF(Cartographie_des_externes_prix_fixes[Contrôle NIST],B21,Cartographie_des_externes_prix_fixes[Émissions de carbone du NIST (kgCO2e)])</f>
        <v>0</v>
      </c>
      <c r="O21" s="289" t="str" cm="1">
        <f t="array" ref="O21">_xlfn.CONCAT(
IFERROR(_xlfn.CONCAT(_xlfn._xlws.FILTER(Cartographie_des_TM_externes[Nom du service],#REF!=B21)&amp;CHAR(10)),""),
IFERROR(_xlfn.CONCAT(_xlfn._xlws.FILTER(Cartographie_des_externes_prix_fixes[Nom du service],#REF!=B21)&amp;CHAR(10)),""))</f>
        <v/>
      </c>
      <c r="P21" s="288">
        <f>SUMIF(Cartographie_voyage[Contrôle NIST],B21,Cartographie_voyage[Émissions totales (kgC02e)])</f>
        <v>0</v>
      </c>
      <c r="Q21" s="290" t="str" cm="1">
        <f t="array" ref="Q21">IFERROR(_xlfn.CONCAT(_xlfn._xlws.FILTER(Cartographie_voyage[Type de transport],Cartographie_voyage[Contrôle NIST]=B21)&amp;CHAR(10)),"")</f>
        <v/>
      </c>
      <c r="R21" s="288">
        <f>SUMIF(Cartographie_poste_de_travail_non_cyber_ordinateur_portable[Contrôle NIST],B21,Cartographie_poste_de_travail_non_cyber_ordinateur_portable[Émissions totales (kgC02e)])
+SUMIF(Cartographie_poste_de_travail_non_cyber_ordinateur_de_bureau[Contrôle NIST],B21,Cartographie_poste_de_travail_non_cyber_ordinateur_de_bureau[Émissions totales (kgC02e)])
+SUMIF(Cartographie_non_cyber_VDI[Contrôle NIST],B21,Cartographie_non_cyber_VDI[Émissions totales (kgC02e)])
+SUMIF(Cartographie_non_cyber_serveurs[Contrôle NIST],B21,Cartographie_non_cyber_serveurs[Émissions totales (kgC02e)])</f>
        <v>0</v>
      </c>
      <c r="S21" s="289" t="str" cm="1">
        <f t="array" ref="S21">_xlfn.CONCAT(
IFERROR(_xlfn.CONCAT(_xlfn._xlws.FILTER(Cartographie_poste_de_travail_non_cyber_ordinateur_portable[Champ d''application],Cartographie_poste_de_travail_non_cyber_ordinateur_portable[Contrôle NIST]=B21)&amp;CHAR(10)),""),
IFERROR(_xlfn.CONCAT(_xlfn._xlws.FILTER(Cartographie_poste_de_travail_non_cyber_ordinateur_de_bureau[Champ d''application],Cartographie_poste_de_travail_non_cyber_ordinateur_de_bureau[Contrôle NIST]=B21)&amp;CHAR(10)),""),
IFERROR(_xlfn.CONCAT(_xlfn._xlws.FILTER(Cartographie_non_cyber_VDI[Champ d''application],Cartographie_non_cyber_VDI[Contrôle NIST]=B21)&amp;CHAR(10)),""),
IFERROR(_xlfn.CONCAT(_xlfn._xlws.FILTER(Cartographie_non_cyber_serveurs[Champ d''application],Cartographie_non_cyber_serveurs[Contrôle NIST]=B21)&amp;CHAR(10)),"")
)</f>
        <v/>
      </c>
    </row>
    <row r="22" spans="1:19" ht="73.5" customHeight="1" x14ac:dyDescent="0.3">
      <c r="A22" s="284" t="s">
        <v>1</v>
      </c>
      <c r="B22" s="285" t="s">
        <v>15</v>
      </c>
      <c r="C22" s="284" t="s">
        <v>465</v>
      </c>
      <c r="D2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1622642.7868316812</v>
      </c>
      <c r="E22" s="287">
        <f>Tableau_de_bord_par_contrôle[[#This Row],[Émissions annuelles totales de CO2e(kgCO2e)]]/(1000*Total)</f>
        <v>0.28872223171147332</v>
      </c>
      <c r="F22" s="288">
        <f xml:space="preserve">
SUMIF(Cartographie_des_appareils_poste_de_travail_ordinateur_portable[Contrôle NIST],B22,Cartographie_des_appareils_poste_de_travail_ordinateur_portable[Émissions totales (kgC02e)])
+SUMIF(Cartographie_des_appareils_poste_de_travail_ordinateur_de_bureau[Contrôle NIST],B22,Cartographie_des_appareils_poste_de_travail_ordinateur_de_bureau[Émissions totales (kgC02e)])
+SUMIF(Cartographie_des_appareils_écrans[Contrôle NIST],B22,Cartographie_des_appareils_écrans[Émissions totales (kgC02e)])+SUMIF(Cartographie_des_appareils_Smartphones[Contrôle NIST],B22,Cartographie_des_appareils_Smartphones[Émissions totales (kgC02e)])</f>
        <v>0</v>
      </c>
      <c r="G22" s="289" t="str" cm="1">
        <f t="array" ref="G22">_xlfn.CONCAT(
IFERROR(_xlfn.CONCAT(_xlfn._xlws.FILTER(Cartographie_des_appareils_poste_de_travail_ordinateur_portable[Champ d''application],Cartographie_des_appareils_poste_de_travail_ordinateur_portable[Contrôle NIST]=B22)&amp;CHAR(10)),""),
IFERROR(_xlfn.CONCAT(_xlfn._xlws.FILTER(#REF!,#REF!=B22)&amp;CHAR(10)),""),
IFERROR(_xlfn.CONCAT(_xlfn._xlws.FILTER(Cartographie_des_appareils_écrans[Champ d''application],Cartographie_des_appareils_écrans[Contrôle NIST]=B22)&amp;CHAR(10)),""),
IFERROR(_xlfn.CONCAT(_xlfn._xlws.FILTER(Cartographie_des_appareils_Smartphones[Champ d''application],Cartographie_des_appareils_Smartphones[Contrôle NIST]=B22)&amp;CHAR(10)),"")
)</f>
        <v/>
      </c>
      <c r="H22" s="288">
        <f>SUMIF(Cartographie_des_appareils[Contrôle NIST],B22,Cartographie_des_appareils[Émissions totales (kgC02e)])</f>
        <v>0</v>
      </c>
      <c r="I22" s="289" t="str" cm="1">
        <f t="array" ref="I22">IFERROR(_xlfn.CONCAT(_xlfn._xlws.FILTER(Cartographie_des_appareils[Champ d''application],Cartographie_des_appareils[Contrôle NIST]=B22)&amp;CHAR(10)),"")</f>
        <v/>
      </c>
      <c r="J22" s="288">
        <f>SUMIF(Cartographie_des_serveurs_de_sauvegarde[Contrôle NIST],B22,Cartographie_des_serveurs_de_sauvegarde[Émissions totales (kgC02e)])</f>
        <v>0</v>
      </c>
      <c r="K22" s="289" t="str" cm="1">
        <f t="array" ref="K22">_xlfn.CONCAT(
IFERROR(_xlfn.CONCAT(_xlfn._xlws.FILTER(Cartographie_non_cyber_serveurs[Champ d''application],Cartographie_non_cyber_serveurs[Contrôle NIST]=B22)&amp;CHAR(10)),""),
IFERROR(_xlfn.CONCAT(_xlfn._xlws.FILTER(Cartographie_des_serveurs_de_sauvegarde[Champ d''application],Cartographie_des_serveurs_de_sauvegarde[Contrôle NIST]=B22)&amp;CHAR(10)),""),
)</f>
        <v/>
      </c>
      <c r="L22" s="288">
        <f>SUMIF(Cartographie_Solutions_Sur_Site[Contrôle NIST],B22,Cartographie_Solutions_Sur_Site[Émissions totales de carbone du NIST (kgCO2e)])
+SUMIF(Cartographie_Solutions_sur_Cloud[Contrôle NIST],B22,Cartographie_Solutions_sur_Cloud[Émissions totales de carbone du NIST (kgCO2e)])</f>
        <v>1615200.9471719626</v>
      </c>
      <c r="M22" s="289" t="str" cm="1">
        <f t="array" ref="M22">_xlfn.CONCAT(
IFERROR(_xlfn.CONCAT(_xlfn._xlws.FILTER(Cartographie_Solutions_Sur_Site[Nom de l''application],#REF!=B22)&amp;CHAR(10)),""),
IFERROR(_xlfn.CONCAT(_xlfn._xlws.FILTER(Cartographie_Solutions_sur_Cloud[Nom de l''application],#REF!=B22)&amp;CHAR(10)),"")
)</f>
        <v/>
      </c>
      <c r="N22" s="288">
        <f>SUMIF(Cartographie_des_TM_externes[Contrôle NIST],B22,Cartographie_des_TM_externes[Émissions de carbone du NIST (kgCO2e)])
+SUMIF(Cartographie_des_externes_prix_fixes[Contrôle NIST],B22,Cartographie_des_externes_prix_fixes[Émissions de carbone du NIST (kgCO2e)])</f>
        <v>7441.8396597186011</v>
      </c>
      <c r="O22" s="289" t="str" cm="1">
        <f t="array" ref="O22">_xlfn.CONCAT(
IFERROR(_xlfn.CONCAT(_xlfn._xlws.FILTER(Cartographie_des_TM_externes[Nom du service],#REF!=B22)&amp;CHAR(10)),""),
IFERROR(_xlfn.CONCAT(_xlfn._xlws.FILTER(Cartographie_des_externes_prix_fixes[Nom du service],#REF!=B22)&amp;CHAR(10)),""))</f>
        <v/>
      </c>
      <c r="P22" s="288">
        <f>SUMIF(Cartographie_voyage[Contrôle NIST],B22,Cartographie_voyage[Émissions totales (kgC02e)])</f>
        <v>0</v>
      </c>
      <c r="Q22" s="290" t="str" cm="1">
        <f t="array" ref="Q22">IFERROR(_xlfn.CONCAT(_xlfn._xlws.FILTER(Cartographie_voyage[Type de transport],Cartographie_voyage[Contrôle NIST]=B22)&amp;CHAR(10)),"")</f>
        <v/>
      </c>
      <c r="R22" s="288">
        <f>SUMIF(Cartographie_poste_de_travail_non_cyber_ordinateur_portable[Contrôle NIST],B22,Cartographie_poste_de_travail_non_cyber_ordinateur_portable[Émissions totales (kgC02e)])
+SUMIF(Cartographie_poste_de_travail_non_cyber_ordinateur_de_bureau[Contrôle NIST],B22,Cartographie_poste_de_travail_non_cyber_ordinateur_de_bureau[Émissions totales (kgC02e)])
+SUMIF(Cartographie_non_cyber_VDI[Contrôle NIST],B22,Cartographie_non_cyber_VDI[Émissions totales (kgC02e)])
+SUMIF(Cartographie_non_cyber_serveurs[Contrôle NIST],B22,Cartographie_non_cyber_serveurs[Émissions totales (kgC02e)])</f>
        <v>0</v>
      </c>
      <c r="S22" s="289" t="str" cm="1">
        <f t="array" ref="S22">_xlfn.CONCAT(
IFERROR(_xlfn.CONCAT(_xlfn._xlws.FILTER(Cartographie_poste_de_travail_non_cyber_ordinateur_portable[Champ d''application],Cartographie_poste_de_travail_non_cyber_ordinateur_portable[Contrôle NIST]=B22)&amp;CHAR(10)),""),
IFERROR(_xlfn.CONCAT(_xlfn._xlws.FILTER(Cartographie_poste_de_travail_non_cyber_ordinateur_de_bureau[Champ d''application],Cartographie_poste_de_travail_non_cyber_ordinateur_de_bureau[Contrôle NIST]=B22)&amp;CHAR(10)),""),
IFERROR(_xlfn.CONCAT(_xlfn._xlws.FILTER(Cartographie_non_cyber_VDI[Champ d''application],Cartographie_non_cyber_VDI[Contrôle NIST]=B22)&amp;CHAR(10)),""),
IFERROR(_xlfn.CONCAT(_xlfn._xlws.FILTER(Cartographie_non_cyber_serveurs[Champ d''application],Cartographie_non_cyber_serveurs[Contrôle NIST]=B22)&amp;CHAR(10)),"")
)</f>
        <v/>
      </c>
    </row>
    <row r="23" spans="1:19" ht="73.5" customHeight="1" x14ac:dyDescent="0.3">
      <c r="A23" s="284" t="s">
        <v>1</v>
      </c>
      <c r="B23" s="285" t="s">
        <v>16</v>
      </c>
      <c r="C23" s="284" t="s">
        <v>235</v>
      </c>
      <c r="D2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3" s="287">
        <f>Tableau_de_bord_par_contrôle[[#This Row],[Émissions annuelles totales de CO2e(kgCO2e)]]/(1000*Total)</f>
        <v>0</v>
      </c>
      <c r="F23" s="288">
        <f xml:space="preserve">
SUMIF(Cartographie_des_appareils_poste_de_travail_ordinateur_portable[Contrôle NIST],B23,Cartographie_des_appareils_poste_de_travail_ordinateur_portable[Émissions totales (kgC02e)])
+SUMIF(Cartographie_des_appareils_poste_de_travail_ordinateur_de_bureau[Contrôle NIST],B23,Cartographie_des_appareils_poste_de_travail_ordinateur_de_bureau[Émissions totales (kgC02e)])
+SUMIF(Cartographie_des_appareils_écrans[Contrôle NIST],B23,Cartographie_des_appareils_écrans[Émissions totales (kgC02e)])+SUMIF(Cartographie_des_appareils_Smartphones[Contrôle NIST],B23,Cartographie_des_appareils_Smartphones[Émissions totales (kgC02e)])</f>
        <v>0</v>
      </c>
      <c r="G23" s="289" t="str" cm="1">
        <f t="array" ref="G23">_xlfn.CONCAT(
IFERROR(_xlfn.CONCAT(_xlfn._xlws.FILTER(Cartographie_des_appareils_poste_de_travail_ordinateur_portable[Champ d''application],Cartographie_des_appareils_poste_de_travail_ordinateur_portable[Contrôle NIST]=B23)&amp;CHAR(10)),""),
IFERROR(_xlfn.CONCAT(_xlfn._xlws.FILTER(#REF!,#REF!=B23)&amp;CHAR(10)),""),
IFERROR(_xlfn.CONCAT(_xlfn._xlws.FILTER(Cartographie_des_appareils_écrans[Champ d''application],Cartographie_des_appareils_écrans[Contrôle NIST]=B23)&amp;CHAR(10)),""),
IFERROR(_xlfn.CONCAT(_xlfn._xlws.FILTER(Cartographie_des_appareils_Smartphones[Champ d''application],Cartographie_des_appareils_Smartphones[Contrôle NIST]=B23)&amp;CHAR(10)),"")
)</f>
        <v/>
      </c>
      <c r="H23" s="288">
        <f>SUMIF(Cartographie_des_appareils[Contrôle NIST],B23,Cartographie_des_appareils[Émissions totales (kgC02e)])</f>
        <v>0</v>
      </c>
      <c r="I23" s="289" t="str" cm="1">
        <f t="array" ref="I23">IFERROR(_xlfn.CONCAT(_xlfn._xlws.FILTER(Cartographie_des_appareils[Champ d''application],Cartographie_des_appareils[Contrôle NIST]=B23)&amp;CHAR(10)),"")</f>
        <v/>
      </c>
      <c r="J23" s="288">
        <f>SUMIF(Cartographie_des_serveurs_de_sauvegarde[Contrôle NIST],B23,Cartographie_des_serveurs_de_sauvegarde[Émissions totales (kgC02e)])</f>
        <v>0</v>
      </c>
      <c r="K23" s="289" t="str" cm="1">
        <f t="array" ref="K23">_xlfn.CONCAT(
IFERROR(_xlfn.CONCAT(_xlfn._xlws.FILTER(Cartographie_non_cyber_serveurs[Champ d''application],Cartographie_non_cyber_serveurs[Contrôle NIST]=B23)&amp;CHAR(10)),""),
IFERROR(_xlfn.CONCAT(_xlfn._xlws.FILTER(Cartographie_des_serveurs_de_sauvegarde[Champ d''application],Cartographie_des_serveurs_de_sauvegarde[Contrôle NIST]=B23)&amp;CHAR(10)),""),
)</f>
        <v/>
      </c>
      <c r="L23" s="288">
        <f>SUMIF(Cartographie_Solutions_Sur_Site[Contrôle NIST],B23,Cartographie_Solutions_Sur_Site[Émissions totales de carbone du NIST (kgCO2e)])
+SUMIF(Cartographie_Solutions_sur_Cloud[Contrôle NIST],B23,Cartographie_Solutions_sur_Cloud[Émissions totales de carbone du NIST (kgCO2e)])</f>
        <v>0</v>
      </c>
      <c r="M23" s="289" t="str" cm="1">
        <f t="array" ref="M23">_xlfn.CONCAT(
IFERROR(_xlfn.CONCAT(_xlfn._xlws.FILTER(Cartographie_Solutions_Sur_Site[Nom de l''application],#REF!=B23)&amp;CHAR(10)),""),
IFERROR(_xlfn.CONCAT(_xlfn._xlws.FILTER(Cartographie_Solutions_sur_Cloud[Nom de l''application],#REF!=B23)&amp;CHAR(10)),"")
)</f>
        <v/>
      </c>
      <c r="N23" s="288">
        <f>SUMIF(Cartographie_des_TM_externes[Contrôle NIST],B23,Cartographie_des_TM_externes[Émissions de carbone du NIST (kgCO2e)])
+SUMIF(Cartographie_des_externes_prix_fixes[Contrôle NIST],B23,Cartographie_des_externes_prix_fixes[Émissions de carbone du NIST (kgCO2e)])</f>
        <v>0</v>
      </c>
      <c r="O23" s="289" t="str" cm="1">
        <f t="array" ref="O23">_xlfn.CONCAT(
IFERROR(_xlfn.CONCAT(_xlfn._xlws.FILTER(Cartographie_des_TM_externes[Nom du service],#REF!=B23)&amp;CHAR(10)),""),
IFERROR(_xlfn.CONCAT(_xlfn._xlws.FILTER(Cartographie_des_externes_prix_fixes[Nom du service],#REF!=B23)&amp;CHAR(10)),""))</f>
        <v/>
      </c>
      <c r="P23" s="288">
        <f>SUMIF(Cartographie_voyage[Contrôle NIST],B23,Cartographie_voyage[Émissions totales (kgC02e)])</f>
        <v>0</v>
      </c>
      <c r="Q23" s="290" t="str" cm="1">
        <f t="array" ref="Q23">IFERROR(_xlfn.CONCAT(_xlfn._xlws.FILTER(Cartographie_voyage[Type de transport],Cartographie_voyage[Contrôle NIST]=B23)&amp;CHAR(10)),"")</f>
        <v/>
      </c>
      <c r="R23" s="288">
        <f>SUMIF(Cartographie_poste_de_travail_non_cyber_ordinateur_portable[Contrôle NIST],B23,Cartographie_poste_de_travail_non_cyber_ordinateur_portable[Émissions totales (kgC02e)])
+SUMIF(Cartographie_poste_de_travail_non_cyber_ordinateur_de_bureau[Contrôle NIST],B23,Cartographie_poste_de_travail_non_cyber_ordinateur_de_bureau[Émissions totales (kgC02e)])
+SUMIF(Cartographie_non_cyber_VDI[Contrôle NIST],B23,Cartographie_non_cyber_VDI[Émissions totales (kgC02e)])
+SUMIF(Cartographie_non_cyber_serveurs[Contrôle NIST],B23,Cartographie_non_cyber_serveurs[Émissions totales (kgC02e)])</f>
        <v>0</v>
      </c>
      <c r="S23" s="289" t="str" cm="1">
        <f t="array" ref="S23">_xlfn.CONCAT(
IFERROR(_xlfn.CONCAT(_xlfn._xlws.FILTER(Cartographie_poste_de_travail_non_cyber_ordinateur_portable[Champ d''application],Cartographie_poste_de_travail_non_cyber_ordinateur_portable[Contrôle NIST]=B23)&amp;CHAR(10)),""),
IFERROR(_xlfn.CONCAT(_xlfn._xlws.FILTER(Cartographie_poste_de_travail_non_cyber_ordinateur_de_bureau[Champ d''application],Cartographie_poste_de_travail_non_cyber_ordinateur_de_bureau[Contrôle NIST]=B23)&amp;CHAR(10)),""),
IFERROR(_xlfn.CONCAT(_xlfn._xlws.FILTER(Cartographie_non_cyber_VDI[Champ d''application],Cartographie_non_cyber_VDI[Contrôle NIST]=B23)&amp;CHAR(10)),""),
IFERROR(_xlfn.CONCAT(_xlfn._xlws.FILTER(Cartographie_non_cyber_serveurs[Champ d''application],Cartographie_non_cyber_serveurs[Contrôle NIST]=B23)&amp;CHAR(10)),"")
)</f>
        <v/>
      </c>
    </row>
    <row r="24" spans="1:19" ht="73.5" customHeight="1" x14ac:dyDescent="0.3">
      <c r="A24" s="284" t="s">
        <v>1</v>
      </c>
      <c r="B24" s="285" t="s">
        <v>17</v>
      </c>
      <c r="C24" s="284" t="s">
        <v>466</v>
      </c>
      <c r="D2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4" s="287">
        <f>Tableau_de_bord_par_contrôle[[#This Row],[Émissions annuelles totales de CO2e(kgCO2e)]]/(1000*Total)</f>
        <v>0</v>
      </c>
      <c r="F24" s="288">
        <f xml:space="preserve">
SUMIF(Cartographie_des_appareils_poste_de_travail_ordinateur_portable[Contrôle NIST],B24,Cartographie_des_appareils_poste_de_travail_ordinateur_portable[Émissions totales (kgC02e)])
+SUMIF(Cartographie_des_appareils_poste_de_travail_ordinateur_de_bureau[Contrôle NIST],B24,Cartographie_des_appareils_poste_de_travail_ordinateur_de_bureau[Émissions totales (kgC02e)])
+SUMIF(Cartographie_des_appareils_écrans[Contrôle NIST],B24,Cartographie_des_appareils_écrans[Émissions totales (kgC02e)])+SUMIF(Cartographie_des_appareils_Smartphones[Contrôle NIST],B24,Cartographie_des_appareils_Smartphones[Émissions totales (kgC02e)])</f>
        <v>0</v>
      </c>
      <c r="G24" s="289" t="str" cm="1">
        <f t="array" ref="G24">_xlfn.CONCAT(
IFERROR(_xlfn.CONCAT(_xlfn._xlws.FILTER(Cartographie_des_appareils_poste_de_travail_ordinateur_portable[Champ d''application],Cartographie_des_appareils_poste_de_travail_ordinateur_portable[Contrôle NIST]=B24)&amp;CHAR(10)),""),
IFERROR(_xlfn.CONCAT(_xlfn._xlws.FILTER(#REF!,#REF!=B24)&amp;CHAR(10)),""),
IFERROR(_xlfn.CONCAT(_xlfn._xlws.FILTER(Cartographie_des_appareils_écrans[Champ d''application],Cartographie_des_appareils_écrans[Contrôle NIST]=B24)&amp;CHAR(10)),""),
IFERROR(_xlfn.CONCAT(_xlfn._xlws.FILTER(Cartographie_des_appareils_Smartphones[Champ d''application],Cartographie_des_appareils_Smartphones[Contrôle NIST]=B24)&amp;CHAR(10)),"")
)</f>
        <v/>
      </c>
      <c r="H24" s="288">
        <f>SUMIF(Cartographie_des_appareils[Contrôle NIST],B24,Cartographie_des_appareils[Émissions totales (kgC02e)])</f>
        <v>0</v>
      </c>
      <c r="I24" s="289" t="str" cm="1">
        <f t="array" ref="I24">IFERROR(_xlfn.CONCAT(_xlfn._xlws.FILTER(Cartographie_des_appareils[Champ d''application],Cartographie_des_appareils[Contrôle NIST]=B24)&amp;CHAR(10)),"")</f>
        <v/>
      </c>
      <c r="J24" s="288">
        <f>SUMIF(Cartographie_des_serveurs_de_sauvegarde[Contrôle NIST],B24,Cartographie_des_serveurs_de_sauvegarde[Émissions totales (kgC02e)])</f>
        <v>0</v>
      </c>
      <c r="K24" s="289" t="str" cm="1">
        <f t="array" ref="K24">_xlfn.CONCAT(
IFERROR(_xlfn.CONCAT(_xlfn._xlws.FILTER(Cartographie_non_cyber_serveurs[Champ d''application],Cartographie_non_cyber_serveurs[Contrôle NIST]=B24)&amp;CHAR(10)),""),
IFERROR(_xlfn.CONCAT(_xlfn._xlws.FILTER(Cartographie_des_serveurs_de_sauvegarde[Champ d''application],Cartographie_des_serveurs_de_sauvegarde[Contrôle NIST]=B24)&amp;CHAR(10)),""),
)</f>
        <v/>
      </c>
      <c r="L24" s="288">
        <f>SUMIF(Cartographie_Solutions_Sur_Site[Contrôle NIST],B24,Cartographie_Solutions_Sur_Site[Émissions totales de carbone du NIST (kgCO2e)])
+SUMIF(Cartographie_Solutions_sur_Cloud[Contrôle NIST],B24,Cartographie_Solutions_sur_Cloud[Émissions totales de carbone du NIST (kgCO2e)])</f>
        <v>0</v>
      </c>
      <c r="M24" s="289" t="str" cm="1">
        <f t="array" ref="M24">_xlfn.CONCAT(
IFERROR(_xlfn.CONCAT(_xlfn._xlws.FILTER(Cartographie_Solutions_Sur_Site[Nom de l''application],#REF!=B24)&amp;CHAR(10)),""),
IFERROR(_xlfn.CONCAT(_xlfn._xlws.FILTER(Cartographie_Solutions_sur_Cloud[Nom de l''application],#REF!=B24)&amp;CHAR(10)),"")
)</f>
        <v/>
      </c>
      <c r="N24" s="288">
        <f>SUMIF(Cartographie_des_TM_externes[Contrôle NIST],B24,Cartographie_des_TM_externes[Émissions de carbone du NIST (kgCO2e)])
+SUMIF(Cartographie_des_externes_prix_fixes[Contrôle NIST],B24,Cartographie_des_externes_prix_fixes[Émissions de carbone du NIST (kgCO2e)])</f>
        <v>0</v>
      </c>
      <c r="O24" s="289" t="str" cm="1">
        <f t="array" ref="O24">_xlfn.CONCAT(
IFERROR(_xlfn.CONCAT(_xlfn._xlws.FILTER(Cartographie_des_TM_externes[Nom du service],#REF!=B24)&amp;CHAR(10)),""),
IFERROR(_xlfn.CONCAT(_xlfn._xlws.FILTER(Cartographie_des_externes_prix_fixes[Nom du service],#REF!=B24)&amp;CHAR(10)),""))</f>
        <v/>
      </c>
      <c r="P24" s="288">
        <f>SUMIF(Cartographie_voyage[Contrôle NIST],B24,Cartographie_voyage[Émissions totales (kgC02e)])</f>
        <v>0</v>
      </c>
      <c r="Q24" s="290" t="str" cm="1">
        <f t="array" ref="Q24">IFERROR(_xlfn.CONCAT(_xlfn._xlws.FILTER(Cartographie_voyage[Type de transport],Cartographie_voyage[Contrôle NIST]=B24)&amp;CHAR(10)),"")</f>
        <v/>
      </c>
      <c r="R24" s="288">
        <f>SUMIF(Cartographie_poste_de_travail_non_cyber_ordinateur_portable[Contrôle NIST],B24,Cartographie_poste_de_travail_non_cyber_ordinateur_portable[Émissions totales (kgC02e)])
+SUMIF(Cartographie_poste_de_travail_non_cyber_ordinateur_de_bureau[Contrôle NIST],B24,Cartographie_poste_de_travail_non_cyber_ordinateur_de_bureau[Émissions totales (kgC02e)])
+SUMIF(Cartographie_non_cyber_VDI[Contrôle NIST],B24,Cartographie_non_cyber_VDI[Émissions totales (kgC02e)])
+SUMIF(Cartographie_non_cyber_serveurs[Contrôle NIST],B24,Cartographie_non_cyber_serveurs[Émissions totales (kgC02e)])</f>
        <v>0</v>
      </c>
      <c r="S24" s="289" t="str" cm="1">
        <f t="array" ref="S24">_xlfn.CONCAT(
IFERROR(_xlfn.CONCAT(_xlfn._xlws.FILTER(Cartographie_poste_de_travail_non_cyber_ordinateur_portable[Champ d''application],Cartographie_poste_de_travail_non_cyber_ordinateur_portable[Contrôle NIST]=B24)&amp;CHAR(10)),""),
IFERROR(_xlfn.CONCAT(_xlfn._xlws.FILTER(Cartographie_poste_de_travail_non_cyber_ordinateur_de_bureau[Champ d''application],Cartographie_poste_de_travail_non_cyber_ordinateur_de_bureau[Contrôle NIST]=B24)&amp;CHAR(10)),""),
IFERROR(_xlfn.CONCAT(_xlfn._xlws.FILTER(Cartographie_non_cyber_VDI[Champ d''application],Cartographie_non_cyber_VDI[Contrôle NIST]=B24)&amp;CHAR(10)),""),
IFERROR(_xlfn.CONCAT(_xlfn._xlws.FILTER(Cartographie_non_cyber_serveurs[Champ d''application],Cartographie_non_cyber_serveurs[Contrôle NIST]=B24)&amp;CHAR(10)),"")
)</f>
        <v/>
      </c>
    </row>
    <row r="25" spans="1:19" ht="73.5" customHeight="1" x14ac:dyDescent="0.3">
      <c r="A25" s="284" t="s">
        <v>2</v>
      </c>
      <c r="B25" s="285" t="s">
        <v>18</v>
      </c>
      <c r="C25" s="291" t="s">
        <v>467</v>
      </c>
      <c r="D2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5" s="287">
        <f>Tableau_de_bord_par_contrôle[[#This Row],[Émissions annuelles totales de CO2e(kgCO2e)]]/(1000*Total)</f>
        <v>0</v>
      </c>
      <c r="F25" s="288">
        <f xml:space="preserve">
SUMIF(Cartographie_des_appareils_poste_de_travail_ordinateur_portable[Contrôle NIST],B25,Cartographie_des_appareils_poste_de_travail_ordinateur_portable[Émissions totales (kgC02e)])
+SUMIF(Cartographie_des_appareils_poste_de_travail_ordinateur_de_bureau[Contrôle NIST],B25,Cartographie_des_appareils_poste_de_travail_ordinateur_de_bureau[Émissions totales (kgC02e)])
+SUMIF(Cartographie_des_appareils_écrans[Contrôle NIST],B25,Cartographie_des_appareils_écrans[Émissions totales (kgC02e)])+SUMIF(Cartographie_des_appareils_Smartphones[Contrôle NIST],B25,Cartographie_des_appareils_Smartphones[Émissions totales (kgC02e)])</f>
        <v>0</v>
      </c>
      <c r="G25" s="289" t="str" cm="1">
        <f t="array" ref="G25">_xlfn.CONCAT(
IFERROR(_xlfn.CONCAT(_xlfn._xlws.FILTER(Cartographie_des_appareils_poste_de_travail_ordinateur_portable[Champ d''application],Cartographie_des_appareils_poste_de_travail_ordinateur_portable[Contrôle NIST]=B25)&amp;CHAR(10)),""),
IFERROR(_xlfn.CONCAT(_xlfn._xlws.FILTER(#REF!,#REF!=B25)&amp;CHAR(10)),""),
IFERROR(_xlfn.CONCAT(_xlfn._xlws.FILTER(Cartographie_des_appareils_écrans[Champ d''application],Cartographie_des_appareils_écrans[Contrôle NIST]=B25)&amp;CHAR(10)),""),
IFERROR(_xlfn.CONCAT(_xlfn._xlws.FILTER(Cartographie_des_appareils_Smartphones[Champ d''application],Cartographie_des_appareils_Smartphones[Contrôle NIST]=B25)&amp;CHAR(10)),"")
)</f>
        <v/>
      </c>
      <c r="H25" s="288">
        <f>SUMIF(Cartographie_des_appareils[Contrôle NIST],B25,Cartographie_des_appareils[Émissions totales (kgC02e)])</f>
        <v>0</v>
      </c>
      <c r="I25" s="289" t="str" cm="1">
        <f t="array" ref="I25">IFERROR(_xlfn.CONCAT(_xlfn._xlws.FILTER(Cartographie_des_appareils[Champ d''application],Cartographie_des_appareils[Contrôle NIST]=B25)&amp;CHAR(10)),"")</f>
        <v/>
      </c>
      <c r="J25" s="288">
        <f>SUMIF(Cartographie_des_serveurs_de_sauvegarde[Contrôle NIST],B25,Cartographie_des_serveurs_de_sauvegarde[Émissions totales (kgC02e)])</f>
        <v>0</v>
      </c>
      <c r="K25" s="289" t="str" cm="1">
        <f t="array" ref="K25">_xlfn.CONCAT(
IFERROR(_xlfn.CONCAT(_xlfn._xlws.FILTER(Cartographie_non_cyber_serveurs[Champ d''application],Cartographie_non_cyber_serveurs[Contrôle NIST]=B25)&amp;CHAR(10)),""),
IFERROR(_xlfn.CONCAT(_xlfn._xlws.FILTER(Cartographie_des_serveurs_de_sauvegarde[Champ d''application],Cartographie_des_serveurs_de_sauvegarde[Contrôle NIST]=B25)&amp;CHAR(10)),""),
)</f>
        <v/>
      </c>
      <c r="L25" s="288">
        <f>SUMIF(Cartographie_Solutions_Sur_Site[Contrôle NIST],B25,Cartographie_Solutions_Sur_Site[Émissions totales de carbone du NIST (kgCO2e)])
+SUMIF(Cartographie_Solutions_sur_Cloud[Contrôle NIST],B25,Cartographie_Solutions_sur_Cloud[Émissions totales de carbone du NIST (kgCO2e)])</f>
        <v>0</v>
      </c>
      <c r="M25" s="289" t="str" cm="1">
        <f t="array" ref="M25">_xlfn.CONCAT(
IFERROR(_xlfn.CONCAT(_xlfn._xlws.FILTER(Cartographie_Solutions_Sur_Site[Nom de l''application],#REF!=B25)&amp;CHAR(10)),""),
IFERROR(_xlfn.CONCAT(_xlfn._xlws.FILTER(Cartographie_Solutions_sur_Cloud[Nom de l''application],#REF!=B25)&amp;CHAR(10)),"")
)</f>
        <v/>
      </c>
      <c r="N25" s="288">
        <f>SUMIF(Cartographie_des_TM_externes[Contrôle NIST],B25,Cartographie_des_TM_externes[Émissions de carbone du NIST (kgCO2e)])
+SUMIF(Cartographie_des_externes_prix_fixes[Contrôle NIST],B25,Cartographie_des_externes_prix_fixes[Émissions de carbone du NIST (kgCO2e)])</f>
        <v>0</v>
      </c>
      <c r="O25" s="289" t="str" cm="1">
        <f t="array" ref="O25">_xlfn.CONCAT(
IFERROR(_xlfn.CONCAT(_xlfn._xlws.FILTER(Cartographie_des_TM_externes[Nom du service],#REF!=B25)&amp;CHAR(10)),""),
IFERROR(_xlfn.CONCAT(_xlfn._xlws.FILTER(Cartographie_des_externes_prix_fixes[Nom du service],#REF!=B25)&amp;CHAR(10)),""))</f>
        <v/>
      </c>
      <c r="P25" s="288">
        <f>SUMIF(Cartographie_voyage[Contrôle NIST],B25,Cartographie_voyage[Émissions totales (kgC02e)])</f>
        <v>0</v>
      </c>
      <c r="Q25" s="290" t="str" cm="1">
        <f t="array" ref="Q25">IFERROR(_xlfn.CONCAT(_xlfn._xlws.FILTER(Cartographie_voyage[Type de transport],Cartographie_voyage[Contrôle NIST]=B25)&amp;CHAR(10)),"")</f>
        <v/>
      </c>
      <c r="R25" s="288">
        <f>SUMIF(Cartographie_poste_de_travail_non_cyber_ordinateur_portable[Contrôle NIST],B25,Cartographie_poste_de_travail_non_cyber_ordinateur_portable[Émissions totales (kgC02e)])
+SUMIF(Cartographie_poste_de_travail_non_cyber_ordinateur_de_bureau[Contrôle NIST],B25,Cartographie_poste_de_travail_non_cyber_ordinateur_de_bureau[Émissions totales (kgC02e)])
+SUMIF(Cartographie_non_cyber_VDI[Contrôle NIST],B25,Cartographie_non_cyber_VDI[Émissions totales (kgC02e)])
+SUMIF(Cartographie_non_cyber_serveurs[Contrôle NIST],B25,Cartographie_non_cyber_serveurs[Émissions totales (kgC02e)])</f>
        <v>0</v>
      </c>
      <c r="S25" s="289" t="str" cm="1">
        <f t="array" ref="S25">_xlfn.CONCAT(
IFERROR(_xlfn.CONCAT(_xlfn._xlws.FILTER(Cartographie_poste_de_travail_non_cyber_ordinateur_portable[Champ d''application],Cartographie_poste_de_travail_non_cyber_ordinateur_portable[Contrôle NIST]=B25)&amp;CHAR(10)),""),
IFERROR(_xlfn.CONCAT(_xlfn._xlws.FILTER(Cartographie_poste_de_travail_non_cyber_ordinateur_de_bureau[Champ d''application],Cartographie_poste_de_travail_non_cyber_ordinateur_de_bureau[Contrôle NIST]=B25)&amp;CHAR(10)),""),
IFERROR(_xlfn.CONCAT(_xlfn._xlws.FILTER(Cartographie_non_cyber_VDI[Champ d''application],Cartographie_non_cyber_VDI[Contrôle NIST]=B25)&amp;CHAR(10)),""),
IFERROR(_xlfn.CONCAT(_xlfn._xlws.FILTER(Cartographie_non_cyber_serveurs[Champ d''application],Cartographie_non_cyber_serveurs[Contrôle NIST]=B25)&amp;CHAR(10)),"")
)</f>
        <v/>
      </c>
    </row>
    <row r="26" spans="1:19" ht="73.5" customHeight="1" x14ac:dyDescent="0.3">
      <c r="A26" s="284" t="s">
        <v>2</v>
      </c>
      <c r="B26" s="285" t="s">
        <v>19</v>
      </c>
      <c r="C26" s="284" t="s">
        <v>468</v>
      </c>
      <c r="D2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6" s="287">
        <f>Tableau_de_bord_par_contrôle[[#This Row],[Émissions annuelles totales de CO2e(kgCO2e)]]/(1000*Total)</f>
        <v>0</v>
      </c>
      <c r="F26" s="288">
        <f xml:space="preserve">
SUMIF(Cartographie_des_appareils_poste_de_travail_ordinateur_portable[Contrôle NIST],B26,Cartographie_des_appareils_poste_de_travail_ordinateur_portable[Émissions totales (kgC02e)])
+SUMIF(Cartographie_des_appareils_poste_de_travail_ordinateur_de_bureau[Contrôle NIST],B26,Cartographie_des_appareils_poste_de_travail_ordinateur_de_bureau[Émissions totales (kgC02e)])
+SUMIF(Cartographie_des_appareils_écrans[Contrôle NIST],B26,Cartographie_des_appareils_écrans[Émissions totales (kgC02e)])+SUMIF(Cartographie_des_appareils_Smartphones[Contrôle NIST],B26,Cartographie_des_appareils_Smartphones[Émissions totales (kgC02e)])</f>
        <v>0</v>
      </c>
      <c r="G26" s="289" t="str" cm="1">
        <f t="array" ref="G26">_xlfn.CONCAT(
IFERROR(_xlfn.CONCAT(_xlfn._xlws.FILTER(Cartographie_des_appareils_poste_de_travail_ordinateur_portable[Champ d''application],Cartographie_des_appareils_poste_de_travail_ordinateur_portable[Contrôle NIST]=B26)&amp;CHAR(10)),""),
IFERROR(_xlfn.CONCAT(_xlfn._xlws.FILTER(#REF!,#REF!=B26)&amp;CHAR(10)),""),
IFERROR(_xlfn.CONCAT(_xlfn._xlws.FILTER(Cartographie_des_appareils_écrans[Champ d''application],Cartographie_des_appareils_écrans[Contrôle NIST]=B26)&amp;CHAR(10)),""),
IFERROR(_xlfn.CONCAT(_xlfn._xlws.FILTER(Cartographie_des_appareils_Smartphones[Champ d''application],Cartographie_des_appareils_Smartphones[Contrôle NIST]=B26)&amp;CHAR(10)),"")
)</f>
        <v/>
      </c>
      <c r="H26" s="288">
        <f>SUMIF(Cartographie_des_appareils[Contrôle NIST],B26,Cartographie_des_appareils[Émissions totales (kgC02e)])</f>
        <v>0</v>
      </c>
      <c r="I26" s="289" t="str" cm="1">
        <f t="array" ref="I26">IFERROR(_xlfn.CONCAT(_xlfn._xlws.FILTER(Cartographie_des_appareils[Champ d''application],Cartographie_des_appareils[Contrôle NIST]=B26)&amp;CHAR(10)),"")</f>
        <v/>
      </c>
      <c r="J26" s="288">
        <f>SUMIF(Cartographie_des_serveurs_de_sauvegarde[Contrôle NIST],B26,Cartographie_des_serveurs_de_sauvegarde[Émissions totales (kgC02e)])</f>
        <v>0</v>
      </c>
      <c r="K26" s="289" t="str" cm="1">
        <f t="array" ref="K26">_xlfn.CONCAT(
IFERROR(_xlfn.CONCAT(_xlfn._xlws.FILTER(Cartographie_non_cyber_serveurs[Champ d''application],Cartographie_non_cyber_serveurs[Contrôle NIST]=B26)&amp;CHAR(10)),""),
IFERROR(_xlfn.CONCAT(_xlfn._xlws.FILTER(Cartographie_des_serveurs_de_sauvegarde[Champ d''application],Cartographie_des_serveurs_de_sauvegarde[Contrôle NIST]=B26)&amp;CHAR(10)),""),
)</f>
        <v/>
      </c>
      <c r="L26" s="288">
        <f>SUMIF(Cartographie_Solutions_Sur_Site[Contrôle NIST],B26,Cartographie_Solutions_Sur_Site[Émissions totales de carbone du NIST (kgCO2e)])
+SUMIF(Cartographie_Solutions_sur_Cloud[Contrôle NIST],B26,Cartographie_Solutions_sur_Cloud[Émissions totales de carbone du NIST (kgCO2e)])</f>
        <v>0</v>
      </c>
      <c r="M26" s="289" t="str" cm="1">
        <f t="array" ref="M26">_xlfn.CONCAT(
IFERROR(_xlfn.CONCAT(_xlfn._xlws.FILTER(Cartographie_Solutions_Sur_Site[Nom de l''application],#REF!=B26)&amp;CHAR(10)),""),
IFERROR(_xlfn.CONCAT(_xlfn._xlws.FILTER(Cartographie_Solutions_sur_Cloud[Nom de l''application],#REF!=B26)&amp;CHAR(10)),"")
)</f>
        <v/>
      </c>
      <c r="N26" s="288">
        <f>SUMIF(Cartographie_des_TM_externes[Contrôle NIST],B26,Cartographie_des_TM_externes[Émissions de carbone du NIST (kgCO2e)])
+SUMIF(Cartographie_des_externes_prix_fixes[Contrôle NIST],B26,Cartographie_des_externes_prix_fixes[Émissions de carbone du NIST (kgCO2e)])</f>
        <v>0</v>
      </c>
      <c r="O26" s="289" t="str" cm="1">
        <f t="array" ref="O26">_xlfn.CONCAT(
IFERROR(_xlfn.CONCAT(_xlfn._xlws.FILTER(Cartographie_des_TM_externes[Nom du service],#REF!=B26)&amp;CHAR(10)),""),
IFERROR(_xlfn.CONCAT(_xlfn._xlws.FILTER(Cartographie_des_externes_prix_fixes[Nom du service],#REF!=B26)&amp;CHAR(10)),""))</f>
        <v/>
      </c>
      <c r="P26" s="288">
        <f>SUMIF(Cartographie_voyage[Contrôle NIST],B26,Cartographie_voyage[Émissions totales (kgC02e)])</f>
        <v>0</v>
      </c>
      <c r="Q26" s="290" t="str" cm="1">
        <f t="array" ref="Q26">IFERROR(_xlfn.CONCAT(_xlfn._xlws.FILTER(Cartographie_voyage[Type de transport],Cartographie_voyage[Contrôle NIST]=B26)&amp;CHAR(10)),"")</f>
        <v/>
      </c>
      <c r="R26" s="288">
        <f>SUMIF(Cartographie_poste_de_travail_non_cyber_ordinateur_portable[Contrôle NIST],B26,Cartographie_poste_de_travail_non_cyber_ordinateur_portable[Émissions totales (kgC02e)])
+SUMIF(Cartographie_poste_de_travail_non_cyber_ordinateur_de_bureau[Contrôle NIST],B26,Cartographie_poste_de_travail_non_cyber_ordinateur_de_bureau[Émissions totales (kgC02e)])
+SUMIF(Cartographie_non_cyber_VDI[Contrôle NIST],B26,Cartographie_non_cyber_VDI[Émissions totales (kgC02e)])
+SUMIF(Cartographie_non_cyber_serveurs[Contrôle NIST],B26,Cartographie_non_cyber_serveurs[Émissions totales (kgC02e)])</f>
        <v>0</v>
      </c>
      <c r="S26" s="289" t="str" cm="1">
        <f t="array" ref="S26">_xlfn.CONCAT(
IFERROR(_xlfn.CONCAT(_xlfn._xlws.FILTER(Cartographie_poste_de_travail_non_cyber_ordinateur_portable[Champ d''application],Cartographie_poste_de_travail_non_cyber_ordinateur_portable[Contrôle NIST]=B26)&amp;CHAR(10)),""),
IFERROR(_xlfn.CONCAT(_xlfn._xlws.FILTER(Cartographie_poste_de_travail_non_cyber_ordinateur_de_bureau[Champ d''application],Cartographie_poste_de_travail_non_cyber_ordinateur_de_bureau[Contrôle NIST]=B26)&amp;CHAR(10)),""),
IFERROR(_xlfn.CONCAT(_xlfn._xlws.FILTER(Cartographie_non_cyber_VDI[Champ d''application],Cartographie_non_cyber_VDI[Contrôle NIST]=B26)&amp;CHAR(10)),""),
IFERROR(_xlfn.CONCAT(_xlfn._xlws.FILTER(Cartographie_non_cyber_serveurs[Champ d''application],Cartographie_non_cyber_serveurs[Contrôle NIST]=B26)&amp;CHAR(10)),"")
)</f>
        <v/>
      </c>
    </row>
    <row r="27" spans="1:19" ht="73.5" customHeight="1" x14ac:dyDescent="0.3">
      <c r="A27" s="284" t="s">
        <v>2</v>
      </c>
      <c r="B27" s="285" t="s">
        <v>20</v>
      </c>
      <c r="C27" s="284" t="s">
        <v>736</v>
      </c>
      <c r="D2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7" s="287">
        <f>Tableau_de_bord_par_contrôle[[#This Row],[Émissions annuelles totales de CO2e(kgCO2e)]]/(1000*Total)</f>
        <v>0</v>
      </c>
      <c r="F27" s="288">
        <f xml:space="preserve">
SUMIF(Cartographie_des_appareils_poste_de_travail_ordinateur_portable[Contrôle NIST],B27,Cartographie_des_appareils_poste_de_travail_ordinateur_portable[Émissions totales (kgC02e)])
+SUMIF(Cartographie_des_appareils_poste_de_travail_ordinateur_de_bureau[Contrôle NIST],B27,Cartographie_des_appareils_poste_de_travail_ordinateur_de_bureau[Émissions totales (kgC02e)])
+SUMIF(Cartographie_des_appareils_écrans[Contrôle NIST],B27,Cartographie_des_appareils_écrans[Émissions totales (kgC02e)])+SUMIF(Cartographie_des_appareils_Smartphones[Contrôle NIST],B27,Cartographie_des_appareils_Smartphones[Émissions totales (kgC02e)])</f>
        <v>0</v>
      </c>
      <c r="G27" s="289" t="str" cm="1">
        <f t="array" ref="G27">_xlfn.CONCAT(
IFERROR(_xlfn.CONCAT(_xlfn._xlws.FILTER(Cartographie_des_appareils_poste_de_travail_ordinateur_portable[Champ d''application],Cartographie_des_appareils_poste_de_travail_ordinateur_portable[Contrôle NIST]=B27)&amp;CHAR(10)),""),
IFERROR(_xlfn.CONCAT(_xlfn._xlws.FILTER(#REF!,#REF!=B27)&amp;CHAR(10)),""),
IFERROR(_xlfn.CONCAT(_xlfn._xlws.FILTER(Cartographie_des_appareils_écrans[Champ d''application],Cartographie_des_appareils_écrans[Contrôle NIST]=B27)&amp;CHAR(10)),""),
IFERROR(_xlfn.CONCAT(_xlfn._xlws.FILTER(Cartographie_des_appareils_Smartphones[Champ d''application],Cartographie_des_appareils_Smartphones[Contrôle NIST]=B27)&amp;CHAR(10)),"")
)</f>
        <v/>
      </c>
      <c r="H27" s="288">
        <f>SUMIF(Cartographie_des_appareils[Contrôle NIST],B27,Cartographie_des_appareils[Émissions totales (kgC02e)])</f>
        <v>0</v>
      </c>
      <c r="I27" s="289" t="str" cm="1">
        <f t="array" ref="I27">IFERROR(_xlfn.CONCAT(_xlfn._xlws.FILTER(Cartographie_des_appareils[Champ d''application],Cartographie_des_appareils[Contrôle NIST]=B27)&amp;CHAR(10)),"")</f>
        <v/>
      </c>
      <c r="J27" s="288">
        <f>SUMIF(Cartographie_des_serveurs_de_sauvegarde[Contrôle NIST],B27,Cartographie_des_serveurs_de_sauvegarde[Émissions totales (kgC02e)])</f>
        <v>0</v>
      </c>
      <c r="K27" s="289" t="str" cm="1">
        <f t="array" ref="K27">_xlfn.CONCAT(
IFERROR(_xlfn.CONCAT(_xlfn._xlws.FILTER(Cartographie_non_cyber_serveurs[Champ d''application],Cartographie_non_cyber_serveurs[Contrôle NIST]=B27)&amp;CHAR(10)),""),
IFERROR(_xlfn.CONCAT(_xlfn._xlws.FILTER(Cartographie_des_serveurs_de_sauvegarde[Champ d''application],Cartographie_des_serveurs_de_sauvegarde[Contrôle NIST]=B27)&amp;CHAR(10)),""),
)</f>
        <v/>
      </c>
      <c r="L27" s="288">
        <f>SUMIF(Cartographie_Solutions_Sur_Site[Contrôle NIST],B27,Cartographie_Solutions_Sur_Site[Émissions totales de carbone du NIST (kgCO2e)])
+SUMIF(Cartographie_Solutions_sur_Cloud[Contrôle NIST],B27,Cartographie_Solutions_sur_Cloud[Émissions totales de carbone du NIST (kgCO2e)])</f>
        <v>0</v>
      </c>
      <c r="M27" s="289" t="str" cm="1">
        <f t="array" ref="M27">_xlfn.CONCAT(
IFERROR(_xlfn.CONCAT(_xlfn._xlws.FILTER(Cartographie_Solutions_Sur_Site[Nom de l''application],#REF!=B27)&amp;CHAR(10)),""),
IFERROR(_xlfn.CONCAT(_xlfn._xlws.FILTER(Cartographie_Solutions_sur_Cloud[Nom de l''application],#REF!=B27)&amp;CHAR(10)),"")
)</f>
        <v/>
      </c>
      <c r="N27" s="288">
        <f>SUMIF(Cartographie_des_TM_externes[Contrôle NIST],B27,Cartographie_des_TM_externes[Émissions de carbone du NIST (kgCO2e)])
+SUMIF(Cartographie_des_externes_prix_fixes[Contrôle NIST],B27,Cartographie_des_externes_prix_fixes[Émissions de carbone du NIST (kgCO2e)])</f>
        <v>0</v>
      </c>
      <c r="O27" s="289" t="str" cm="1">
        <f t="array" ref="O27">_xlfn.CONCAT(
IFERROR(_xlfn.CONCAT(_xlfn._xlws.FILTER(Cartographie_des_TM_externes[Nom du service],#REF!=B27)&amp;CHAR(10)),""),
IFERROR(_xlfn.CONCAT(_xlfn._xlws.FILTER(Cartographie_des_externes_prix_fixes[Nom du service],#REF!=B27)&amp;CHAR(10)),""))</f>
        <v/>
      </c>
      <c r="P27" s="288">
        <f>SUMIF(Cartographie_voyage[Contrôle NIST],B27,Cartographie_voyage[Émissions totales (kgC02e)])</f>
        <v>0</v>
      </c>
      <c r="Q27" s="290" t="str" cm="1">
        <f t="array" ref="Q27">IFERROR(_xlfn.CONCAT(_xlfn._xlws.FILTER(Cartographie_voyage[Type de transport],Cartographie_voyage[Contrôle NIST]=B27)&amp;CHAR(10)),"")</f>
        <v/>
      </c>
      <c r="R27" s="288">
        <f>SUMIF(Cartographie_poste_de_travail_non_cyber_ordinateur_portable[Contrôle NIST],B27,Cartographie_poste_de_travail_non_cyber_ordinateur_portable[Émissions totales (kgC02e)])
+SUMIF(Cartographie_poste_de_travail_non_cyber_ordinateur_de_bureau[Contrôle NIST],B27,Cartographie_poste_de_travail_non_cyber_ordinateur_de_bureau[Émissions totales (kgC02e)])
+SUMIF(Cartographie_non_cyber_VDI[Contrôle NIST],B27,Cartographie_non_cyber_VDI[Émissions totales (kgC02e)])
+SUMIF(Cartographie_non_cyber_serveurs[Contrôle NIST],B27,Cartographie_non_cyber_serveurs[Émissions totales (kgC02e)])</f>
        <v>0</v>
      </c>
      <c r="S27" s="289" t="str" cm="1">
        <f t="array" ref="S27">_xlfn.CONCAT(
IFERROR(_xlfn.CONCAT(_xlfn._xlws.FILTER(Cartographie_poste_de_travail_non_cyber_ordinateur_portable[Champ d''application],Cartographie_poste_de_travail_non_cyber_ordinateur_portable[Contrôle NIST]=B27)&amp;CHAR(10)),""),
IFERROR(_xlfn.CONCAT(_xlfn._xlws.FILTER(Cartographie_poste_de_travail_non_cyber_ordinateur_de_bureau[Champ d''application],Cartographie_poste_de_travail_non_cyber_ordinateur_de_bureau[Contrôle NIST]=B27)&amp;CHAR(10)),""),
IFERROR(_xlfn.CONCAT(_xlfn._xlws.FILTER(Cartographie_non_cyber_VDI[Champ d''application],Cartographie_non_cyber_VDI[Contrôle NIST]=B27)&amp;CHAR(10)),""),
IFERROR(_xlfn.CONCAT(_xlfn._xlws.FILTER(Cartographie_non_cyber_serveurs[Champ d''application],Cartographie_non_cyber_serveurs[Contrôle NIST]=B27)&amp;CHAR(10)),"")
)</f>
        <v/>
      </c>
    </row>
    <row r="28" spans="1:19" ht="73.5" customHeight="1" x14ac:dyDescent="0.3">
      <c r="A28" s="284" t="s">
        <v>2</v>
      </c>
      <c r="B28" s="285" t="s">
        <v>21</v>
      </c>
      <c r="C28" s="284" t="s">
        <v>737</v>
      </c>
      <c r="D2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8" s="287">
        <f>Tableau_de_bord_par_contrôle[[#This Row],[Émissions annuelles totales de CO2e(kgCO2e)]]/(1000*Total)</f>
        <v>0</v>
      </c>
      <c r="F28" s="288">
        <f xml:space="preserve">
SUMIF(Cartographie_des_appareils_poste_de_travail_ordinateur_portable[Contrôle NIST],B28,Cartographie_des_appareils_poste_de_travail_ordinateur_portable[Émissions totales (kgC02e)])
+SUMIF(Cartographie_des_appareils_poste_de_travail_ordinateur_de_bureau[Contrôle NIST],B28,Cartographie_des_appareils_poste_de_travail_ordinateur_de_bureau[Émissions totales (kgC02e)])
+SUMIF(Cartographie_des_appareils_écrans[Contrôle NIST],B28,Cartographie_des_appareils_écrans[Émissions totales (kgC02e)])+SUMIF(Cartographie_des_appareils_Smartphones[Contrôle NIST],B28,Cartographie_des_appareils_Smartphones[Émissions totales (kgC02e)])</f>
        <v>0</v>
      </c>
      <c r="G28" s="289" t="str" cm="1">
        <f t="array" ref="G28">_xlfn.CONCAT(
IFERROR(_xlfn.CONCAT(_xlfn._xlws.FILTER(Cartographie_des_appareils_poste_de_travail_ordinateur_portable[Champ d''application],Cartographie_des_appareils_poste_de_travail_ordinateur_portable[Contrôle NIST]=B28)&amp;CHAR(10)),""),
IFERROR(_xlfn.CONCAT(_xlfn._xlws.FILTER(#REF!,#REF!=B28)&amp;CHAR(10)),""),
IFERROR(_xlfn.CONCAT(_xlfn._xlws.FILTER(Cartographie_des_appareils_écrans[Champ d''application],Cartographie_des_appareils_écrans[Contrôle NIST]=B28)&amp;CHAR(10)),""),
IFERROR(_xlfn.CONCAT(_xlfn._xlws.FILTER(Cartographie_des_appareils_Smartphones[Champ d''application],Cartographie_des_appareils_Smartphones[Contrôle NIST]=B28)&amp;CHAR(10)),"")
)</f>
        <v/>
      </c>
      <c r="H28" s="288">
        <f>SUMIF(Cartographie_des_appareils[Contrôle NIST],B28,Cartographie_des_appareils[Émissions totales (kgC02e)])</f>
        <v>0</v>
      </c>
      <c r="I28" s="289" t="str" cm="1">
        <f t="array" ref="I28">IFERROR(_xlfn.CONCAT(_xlfn._xlws.FILTER(Cartographie_des_appareils[Champ d''application],Cartographie_des_appareils[Contrôle NIST]=B28)&amp;CHAR(10)),"")</f>
        <v/>
      </c>
      <c r="J28" s="288">
        <f>SUMIF(Cartographie_des_serveurs_de_sauvegarde[Contrôle NIST],B28,Cartographie_des_serveurs_de_sauvegarde[Émissions totales (kgC02e)])</f>
        <v>0</v>
      </c>
      <c r="K28" s="289" t="str" cm="1">
        <f t="array" ref="K28">_xlfn.CONCAT(
IFERROR(_xlfn.CONCAT(_xlfn._xlws.FILTER(Cartographie_non_cyber_serveurs[Champ d''application],Cartographie_non_cyber_serveurs[Contrôle NIST]=B28)&amp;CHAR(10)),""),
IFERROR(_xlfn.CONCAT(_xlfn._xlws.FILTER(Cartographie_des_serveurs_de_sauvegarde[Champ d''application],Cartographie_des_serveurs_de_sauvegarde[Contrôle NIST]=B28)&amp;CHAR(10)),""),
)</f>
        <v/>
      </c>
      <c r="L28" s="288">
        <f>SUMIF(Cartographie_Solutions_Sur_Site[Contrôle NIST],B28,Cartographie_Solutions_Sur_Site[Émissions totales de carbone du NIST (kgCO2e)])
+SUMIF(Cartographie_Solutions_sur_Cloud[Contrôle NIST],B28,Cartographie_Solutions_sur_Cloud[Émissions totales de carbone du NIST (kgCO2e)])</f>
        <v>0</v>
      </c>
      <c r="M28" s="289" t="str" cm="1">
        <f t="array" ref="M28">_xlfn.CONCAT(
IFERROR(_xlfn.CONCAT(_xlfn._xlws.FILTER(Cartographie_Solutions_Sur_Site[Nom de l''application],#REF!=B28)&amp;CHAR(10)),""),
IFERROR(_xlfn.CONCAT(_xlfn._xlws.FILTER(Cartographie_Solutions_sur_Cloud[Nom de l''application],#REF!=B28)&amp;CHAR(10)),"")
)</f>
        <v/>
      </c>
      <c r="N28" s="288">
        <f>SUMIF(Cartographie_des_TM_externes[Contrôle NIST],B28,Cartographie_des_TM_externes[Émissions de carbone du NIST (kgCO2e)])
+SUMIF(Cartographie_des_externes_prix_fixes[Contrôle NIST],B28,Cartographie_des_externes_prix_fixes[Émissions de carbone du NIST (kgCO2e)])</f>
        <v>0</v>
      </c>
      <c r="O28" s="289" t="str" cm="1">
        <f t="array" ref="O28">_xlfn.CONCAT(
IFERROR(_xlfn.CONCAT(_xlfn._xlws.FILTER(Cartographie_des_TM_externes[Nom du service],#REF!=B28)&amp;CHAR(10)),""),
IFERROR(_xlfn.CONCAT(_xlfn._xlws.FILTER(Cartographie_des_externes_prix_fixes[Nom du service],#REF!=B28)&amp;CHAR(10)),""))</f>
        <v/>
      </c>
      <c r="P28" s="288">
        <f>SUMIF(Cartographie_voyage[Contrôle NIST],B28,Cartographie_voyage[Émissions totales (kgC02e)])</f>
        <v>0</v>
      </c>
      <c r="Q28" s="290" t="str" cm="1">
        <f t="array" ref="Q28">IFERROR(_xlfn.CONCAT(_xlfn._xlws.FILTER(Cartographie_voyage[Type de transport],Cartographie_voyage[Contrôle NIST]=B28)&amp;CHAR(10)),"")</f>
        <v/>
      </c>
      <c r="R28" s="288">
        <f>SUMIF(Cartographie_poste_de_travail_non_cyber_ordinateur_portable[Contrôle NIST],B28,Cartographie_poste_de_travail_non_cyber_ordinateur_portable[Émissions totales (kgC02e)])
+SUMIF(Cartographie_poste_de_travail_non_cyber_ordinateur_de_bureau[Contrôle NIST],B28,Cartographie_poste_de_travail_non_cyber_ordinateur_de_bureau[Émissions totales (kgC02e)])
+SUMIF(Cartographie_non_cyber_VDI[Contrôle NIST],B28,Cartographie_non_cyber_VDI[Émissions totales (kgC02e)])
+SUMIF(Cartographie_non_cyber_serveurs[Contrôle NIST],B28,Cartographie_non_cyber_serveurs[Émissions totales (kgC02e)])</f>
        <v>0</v>
      </c>
      <c r="S28" s="289" t="str" cm="1">
        <f t="array" ref="S28">_xlfn.CONCAT(
IFERROR(_xlfn.CONCAT(_xlfn._xlws.FILTER(Cartographie_poste_de_travail_non_cyber_ordinateur_portable[Champ d''application],Cartographie_poste_de_travail_non_cyber_ordinateur_portable[Contrôle NIST]=B28)&amp;CHAR(10)),""),
IFERROR(_xlfn.CONCAT(_xlfn._xlws.FILTER(Cartographie_poste_de_travail_non_cyber_ordinateur_de_bureau[Champ d''application],Cartographie_poste_de_travail_non_cyber_ordinateur_de_bureau[Contrôle NIST]=B28)&amp;CHAR(10)),""),
IFERROR(_xlfn.CONCAT(_xlfn._xlws.FILTER(Cartographie_non_cyber_VDI[Champ d''application],Cartographie_non_cyber_VDI[Contrôle NIST]=B28)&amp;CHAR(10)),""),
IFERROR(_xlfn.CONCAT(_xlfn._xlws.FILTER(Cartographie_non_cyber_serveurs[Champ d''application],Cartographie_non_cyber_serveurs[Contrôle NIST]=B28)&amp;CHAR(10)),"")
)</f>
        <v/>
      </c>
    </row>
    <row r="29" spans="1:19" ht="73.5" customHeight="1" x14ac:dyDescent="0.3">
      <c r="A29" s="284" t="s">
        <v>3</v>
      </c>
      <c r="B29" s="285" t="s">
        <v>22</v>
      </c>
      <c r="C29" s="284" t="s">
        <v>469</v>
      </c>
      <c r="D2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29" s="287">
        <f>Tableau_de_bord_par_contrôle[[#This Row],[Émissions annuelles totales de CO2e(kgCO2e)]]/(1000*Total)</f>
        <v>0</v>
      </c>
      <c r="F29" s="288">
        <f xml:space="preserve">
SUMIF(Cartographie_des_appareils_poste_de_travail_ordinateur_portable[Contrôle NIST],B29,Cartographie_des_appareils_poste_de_travail_ordinateur_portable[Émissions totales (kgC02e)])
+SUMIF(Cartographie_des_appareils_poste_de_travail_ordinateur_de_bureau[Contrôle NIST],B29,Cartographie_des_appareils_poste_de_travail_ordinateur_de_bureau[Émissions totales (kgC02e)])
+SUMIF(Cartographie_des_appareils_écrans[Contrôle NIST],B29,Cartographie_des_appareils_écrans[Émissions totales (kgC02e)])+SUMIF(Cartographie_des_appareils_Smartphones[Contrôle NIST],B29,Cartographie_des_appareils_Smartphones[Émissions totales (kgC02e)])</f>
        <v>0</v>
      </c>
      <c r="G29" s="289" t="str" cm="1">
        <f t="array" ref="G29">_xlfn.CONCAT(
IFERROR(_xlfn.CONCAT(_xlfn._xlws.FILTER(Cartographie_des_appareils_poste_de_travail_ordinateur_portable[Champ d''application],Cartographie_des_appareils_poste_de_travail_ordinateur_portable[Contrôle NIST]=B29)&amp;CHAR(10)),""),
IFERROR(_xlfn.CONCAT(_xlfn._xlws.FILTER(#REF!,#REF!=B29)&amp;CHAR(10)),""),
IFERROR(_xlfn.CONCAT(_xlfn._xlws.FILTER(Cartographie_des_appareils_écrans[Champ d''application],Cartographie_des_appareils_écrans[Contrôle NIST]=B29)&amp;CHAR(10)),""),
IFERROR(_xlfn.CONCAT(_xlfn._xlws.FILTER(Cartographie_des_appareils_Smartphones[Champ d''application],Cartographie_des_appareils_Smartphones[Contrôle NIST]=B29)&amp;CHAR(10)),"")
)</f>
        <v/>
      </c>
      <c r="H29" s="288">
        <f>SUMIF(Cartographie_des_appareils[Contrôle NIST],B29,Cartographie_des_appareils[Émissions totales (kgC02e)])</f>
        <v>0</v>
      </c>
      <c r="I29" s="289" t="str" cm="1">
        <f t="array" ref="I29">IFERROR(_xlfn.CONCAT(_xlfn._xlws.FILTER(Cartographie_des_appareils[Champ d''application],Cartographie_des_appareils[Contrôle NIST]=B29)&amp;CHAR(10)),"")</f>
        <v/>
      </c>
      <c r="J29" s="288">
        <f>SUMIF(Cartographie_des_serveurs_de_sauvegarde[Contrôle NIST],B29,Cartographie_des_serveurs_de_sauvegarde[Émissions totales (kgC02e)])</f>
        <v>0</v>
      </c>
      <c r="K29" s="289" t="str" cm="1">
        <f t="array" ref="K29">_xlfn.CONCAT(
IFERROR(_xlfn.CONCAT(_xlfn._xlws.FILTER(Cartographie_non_cyber_serveurs[Champ d''application],Cartographie_non_cyber_serveurs[Contrôle NIST]=B29)&amp;CHAR(10)),""),
IFERROR(_xlfn.CONCAT(_xlfn._xlws.FILTER(Cartographie_des_serveurs_de_sauvegarde[Champ d''application],Cartographie_des_serveurs_de_sauvegarde[Contrôle NIST]=B29)&amp;CHAR(10)),""),
)</f>
        <v/>
      </c>
      <c r="L29" s="288">
        <f>SUMIF(Cartographie_Solutions_Sur_Site[Contrôle NIST],B29,Cartographie_Solutions_Sur_Site[Émissions totales de carbone du NIST (kgCO2e)])
+SUMIF(Cartographie_Solutions_sur_Cloud[Contrôle NIST],B29,Cartographie_Solutions_sur_Cloud[Émissions totales de carbone du NIST (kgCO2e)])</f>
        <v>0</v>
      </c>
      <c r="M29" s="289" t="str" cm="1">
        <f t="array" ref="M29">_xlfn.CONCAT(
IFERROR(_xlfn.CONCAT(_xlfn._xlws.FILTER(Cartographie_Solutions_Sur_Site[Nom de l''application],#REF!=B29)&amp;CHAR(10)),""),
IFERROR(_xlfn.CONCAT(_xlfn._xlws.FILTER(Cartographie_Solutions_sur_Cloud[Nom de l''application],#REF!=B29)&amp;CHAR(10)),"")
)</f>
        <v/>
      </c>
      <c r="N29" s="288">
        <f>SUMIF(Cartographie_des_TM_externes[Contrôle NIST],B29,Cartographie_des_TM_externes[Émissions de carbone du NIST (kgCO2e)])
+SUMIF(Cartographie_des_externes_prix_fixes[Contrôle NIST],B29,Cartographie_des_externes_prix_fixes[Émissions de carbone du NIST (kgCO2e)])</f>
        <v>0</v>
      </c>
      <c r="O29" s="289" t="str" cm="1">
        <f t="array" ref="O29">_xlfn.CONCAT(
IFERROR(_xlfn.CONCAT(_xlfn._xlws.FILTER(Cartographie_des_TM_externes[Nom du service],#REF!=B29)&amp;CHAR(10)),""),
IFERROR(_xlfn.CONCAT(_xlfn._xlws.FILTER(Cartographie_des_externes_prix_fixes[Nom du service],#REF!=B29)&amp;CHAR(10)),""))</f>
        <v/>
      </c>
      <c r="P29" s="288">
        <f>SUMIF(Cartographie_voyage[Contrôle NIST],B29,Cartographie_voyage[Émissions totales (kgC02e)])</f>
        <v>0</v>
      </c>
      <c r="Q29" s="290" t="str" cm="1">
        <f t="array" ref="Q29">IFERROR(_xlfn.CONCAT(_xlfn._xlws.FILTER(Cartographie_voyage[Type de transport],Cartographie_voyage[Contrôle NIST]=B29)&amp;CHAR(10)),"")</f>
        <v/>
      </c>
      <c r="R29" s="288">
        <f>SUMIF(Cartographie_poste_de_travail_non_cyber_ordinateur_portable[Contrôle NIST],B29,Cartographie_poste_de_travail_non_cyber_ordinateur_portable[Émissions totales (kgC02e)])
+SUMIF(Cartographie_poste_de_travail_non_cyber_ordinateur_de_bureau[Contrôle NIST],B29,Cartographie_poste_de_travail_non_cyber_ordinateur_de_bureau[Émissions totales (kgC02e)])
+SUMIF(Cartographie_non_cyber_VDI[Contrôle NIST],B29,Cartographie_non_cyber_VDI[Émissions totales (kgC02e)])
+SUMIF(Cartographie_non_cyber_serveurs[Contrôle NIST],B29,Cartographie_non_cyber_serveurs[Émissions totales (kgC02e)])</f>
        <v>0</v>
      </c>
      <c r="S29" s="289" t="str" cm="1">
        <f t="array" ref="S29">_xlfn.CONCAT(
IFERROR(_xlfn.CONCAT(_xlfn._xlws.FILTER(Cartographie_poste_de_travail_non_cyber_ordinateur_portable[Champ d''application],Cartographie_poste_de_travail_non_cyber_ordinateur_portable[Contrôle NIST]=B29)&amp;CHAR(10)),""),
IFERROR(_xlfn.CONCAT(_xlfn._xlws.FILTER(Cartographie_poste_de_travail_non_cyber_ordinateur_de_bureau[Champ d''application],Cartographie_poste_de_travail_non_cyber_ordinateur_de_bureau[Contrôle NIST]=B29)&amp;CHAR(10)),""),
IFERROR(_xlfn.CONCAT(_xlfn._xlws.FILTER(Cartographie_non_cyber_VDI[Champ d''application],Cartographie_non_cyber_VDI[Contrôle NIST]=B29)&amp;CHAR(10)),""),
IFERROR(_xlfn.CONCAT(_xlfn._xlws.FILTER(Cartographie_non_cyber_serveurs[Champ d''application],Cartographie_non_cyber_serveurs[Contrôle NIST]=B29)&amp;CHAR(10)),"")
)</f>
        <v/>
      </c>
    </row>
    <row r="30" spans="1:19" ht="73.5" customHeight="1" x14ac:dyDescent="0.3">
      <c r="A30" s="284" t="s">
        <v>3</v>
      </c>
      <c r="B30" s="285" t="s">
        <v>23</v>
      </c>
      <c r="C30" s="284" t="s">
        <v>470</v>
      </c>
      <c r="D3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0" s="287">
        <f>Tableau_de_bord_par_contrôle[[#This Row],[Émissions annuelles totales de CO2e(kgCO2e)]]/(1000*Total)</f>
        <v>0</v>
      </c>
      <c r="F30" s="288">
        <f xml:space="preserve">
SUMIF(Cartographie_des_appareils_poste_de_travail_ordinateur_portable[Contrôle NIST],B30,Cartographie_des_appareils_poste_de_travail_ordinateur_portable[Émissions totales (kgC02e)])
+SUMIF(Cartographie_des_appareils_poste_de_travail_ordinateur_de_bureau[Contrôle NIST],B30,Cartographie_des_appareils_poste_de_travail_ordinateur_de_bureau[Émissions totales (kgC02e)])
+SUMIF(Cartographie_des_appareils_écrans[Contrôle NIST],B30,Cartographie_des_appareils_écrans[Émissions totales (kgC02e)])+SUMIF(Cartographie_des_appareils_Smartphones[Contrôle NIST],B30,Cartographie_des_appareils_Smartphones[Émissions totales (kgC02e)])</f>
        <v>0</v>
      </c>
      <c r="G30" s="289" t="str" cm="1">
        <f t="array" ref="G30">_xlfn.CONCAT(
IFERROR(_xlfn.CONCAT(_xlfn._xlws.FILTER(Cartographie_des_appareils_poste_de_travail_ordinateur_portable[Champ d''application],Cartographie_des_appareils_poste_de_travail_ordinateur_portable[Contrôle NIST]=B30)&amp;CHAR(10)),""),
IFERROR(_xlfn.CONCAT(_xlfn._xlws.FILTER(#REF!,#REF!=B30)&amp;CHAR(10)),""),
IFERROR(_xlfn.CONCAT(_xlfn._xlws.FILTER(Cartographie_des_appareils_écrans[Champ d''application],Cartographie_des_appareils_écrans[Contrôle NIST]=B30)&amp;CHAR(10)),""),
IFERROR(_xlfn.CONCAT(_xlfn._xlws.FILTER(Cartographie_des_appareils_Smartphones[Champ d''application],Cartographie_des_appareils_Smartphones[Contrôle NIST]=B30)&amp;CHAR(10)),"")
)</f>
        <v/>
      </c>
      <c r="H30" s="288">
        <f>SUMIF(Cartographie_des_appareils[Contrôle NIST],B30,Cartographie_des_appareils[Émissions totales (kgC02e)])</f>
        <v>0</v>
      </c>
      <c r="I30" s="289" t="str" cm="1">
        <f t="array" ref="I30">IFERROR(_xlfn.CONCAT(_xlfn._xlws.FILTER(Cartographie_des_appareils[Champ d''application],Cartographie_des_appareils[Contrôle NIST]=B30)&amp;CHAR(10)),"")</f>
        <v/>
      </c>
      <c r="J30" s="288">
        <f>SUMIF(Cartographie_des_serveurs_de_sauvegarde[Contrôle NIST],B30,Cartographie_des_serveurs_de_sauvegarde[Émissions totales (kgC02e)])</f>
        <v>0</v>
      </c>
      <c r="K30" s="289" t="str" cm="1">
        <f t="array" ref="K30">_xlfn.CONCAT(
IFERROR(_xlfn.CONCAT(_xlfn._xlws.FILTER(Cartographie_non_cyber_serveurs[Champ d''application],Cartographie_non_cyber_serveurs[Contrôle NIST]=B30)&amp;CHAR(10)),""),
IFERROR(_xlfn.CONCAT(_xlfn._xlws.FILTER(Cartographie_des_serveurs_de_sauvegarde[Champ d''application],Cartographie_des_serveurs_de_sauvegarde[Contrôle NIST]=B30)&amp;CHAR(10)),""),
)</f>
        <v/>
      </c>
      <c r="L30" s="288">
        <f>SUMIF(Cartographie_Solutions_Sur_Site[Contrôle NIST],B30,Cartographie_Solutions_Sur_Site[Émissions totales de carbone du NIST (kgCO2e)])
+SUMIF(Cartographie_Solutions_sur_Cloud[Contrôle NIST],B30,Cartographie_Solutions_sur_Cloud[Émissions totales de carbone du NIST (kgCO2e)])</f>
        <v>0</v>
      </c>
      <c r="M30" s="289" t="str" cm="1">
        <f t="array" ref="M30">_xlfn.CONCAT(
IFERROR(_xlfn.CONCAT(_xlfn._xlws.FILTER(Cartographie_Solutions_Sur_Site[Nom de l''application],#REF!=B30)&amp;CHAR(10)),""),
IFERROR(_xlfn.CONCAT(_xlfn._xlws.FILTER(Cartographie_Solutions_sur_Cloud[Nom de l''application],#REF!=B30)&amp;CHAR(10)),"")
)</f>
        <v/>
      </c>
      <c r="N30" s="288">
        <f>SUMIF(Cartographie_des_TM_externes[Contrôle NIST],B30,Cartographie_des_TM_externes[Émissions de carbone du NIST (kgCO2e)])
+SUMIF(Cartographie_des_externes_prix_fixes[Contrôle NIST],B30,Cartographie_des_externes_prix_fixes[Émissions de carbone du NIST (kgCO2e)])</f>
        <v>0</v>
      </c>
      <c r="O30" s="289" t="str" cm="1">
        <f t="array" ref="O30">_xlfn.CONCAT(
IFERROR(_xlfn.CONCAT(_xlfn._xlws.FILTER(Cartographie_des_TM_externes[Nom du service],#REF!=B30)&amp;CHAR(10)),""),
IFERROR(_xlfn.CONCAT(_xlfn._xlws.FILTER(Cartographie_des_externes_prix_fixes[Nom du service],#REF!=B30)&amp;CHAR(10)),""))</f>
        <v/>
      </c>
      <c r="P30" s="288">
        <f>SUMIF(Cartographie_voyage[Contrôle NIST],B30,Cartographie_voyage[Émissions totales (kgC02e)])</f>
        <v>0</v>
      </c>
      <c r="Q30" s="290" t="str" cm="1">
        <f t="array" ref="Q30">IFERROR(_xlfn.CONCAT(_xlfn._xlws.FILTER(Cartographie_voyage[Type de transport],Cartographie_voyage[Contrôle NIST]=B30)&amp;CHAR(10)),"")</f>
        <v/>
      </c>
      <c r="R30" s="288">
        <f>SUMIF(Cartographie_poste_de_travail_non_cyber_ordinateur_portable[Contrôle NIST],B30,Cartographie_poste_de_travail_non_cyber_ordinateur_portable[Émissions totales (kgC02e)])
+SUMIF(Cartographie_poste_de_travail_non_cyber_ordinateur_de_bureau[Contrôle NIST],B30,Cartographie_poste_de_travail_non_cyber_ordinateur_de_bureau[Émissions totales (kgC02e)])
+SUMIF(Cartographie_non_cyber_VDI[Contrôle NIST],B30,Cartographie_non_cyber_VDI[Émissions totales (kgC02e)])
+SUMIF(Cartographie_non_cyber_serveurs[Contrôle NIST],B30,Cartographie_non_cyber_serveurs[Émissions totales (kgC02e)])</f>
        <v>0</v>
      </c>
      <c r="S30" s="289" t="str" cm="1">
        <f t="array" ref="S30">_xlfn.CONCAT(
IFERROR(_xlfn.CONCAT(_xlfn._xlws.FILTER(Cartographie_poste_de_travail_non_cyber_ordinateur_portable[Champ d''application],Cartographie_poste_de_travail_non_cyber_ordinateur_portable[Contrôle NIST]=B30)&amp;CHAR(10)),""),
IFERROR(_xlfn.CONCAT(_xlfn._xlws.FILTER(Cartographie_poste_de_travail_non_cyber_ordinateur_de_bureau[Champ d''application],Cartographie_poste_de_travail_non_cyber_ordinateur_de_bureau[Contrôle NIST]=B30)&amp;CHAR(10)),""),
IFERROR(_xlfn.CONCAT(_xlfn._xlws.FILTER(Cartographie_non_cyber_VDI[Champ d''application],Cartographie_non_cyber_VDI[Contrôle NIST]=B30)&amp;CHAR(10)),""),
IFERROR(_xlfn.CONCAT(_xlfn._xlws.FILTER(Cartographie_non_cyber_serveurs[Champ d''application],Cartographie_non_cyber_serveurs[Contrôle NIST]=B30)&amp;CHAR(10)),"")
)</f>
        <v/>
      </c>
    </row>
    <row r="31" spans="1:19" ht="73.5" customHeight="1" x14ac:dyDescent="0.3">
      <c r="A31" s="284" t="s">
        <v>3</v>
      </c>
      <c r="B31" s="285" t="s">
        <v>24</v>
      </c>
      <c r="C31" s="284" t="s">
        <v>471</v>
      </c>
      <c r="D3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1" s="287">
        <f>Tableau_de_bord_par_contrôle[[#This Row],[Émissions annuelles totales de CO2e(kgCO2e)]]/(1000*Total)</f>
        <v>0</v>
      </c>
      <c r="F31" s="288">
        <f xml:space="preserve">
SUMIF(Cartographie_des_appareils_poste_de_travail_ordinateur_portable[Contrôle NIST],B31,Cartographie_des_appareils_poste_de_travail_ordinateur_portable[Émissions totales (kgC02e)])
+SUMIF(Cartographie_des_appareils_poste_de_travail_ordinateur_de_bureau[Contrôle NIST],B31,Cartographie_des_appareils_poste_de_travail_ordinateur_de_bureau[Émissions totales (kgC02e)])
+SUMIF(Cartographie_des_appareils_écrans[Contrôle NIST],B31,Cartographie_des_appareils_écrans[Émissions totales (kgC02e)])+SUMIF(Cartographie_des_appareils_Smartphones[Contrôle NIST],B31,Cartographie_des_appareils_Smartphones[Émissions totales (kgC02e)])</f>
        <v>0</v>
      </c>
      <c r="G31" s="289" t="str" cm="1">
        <f t="array" ref="G31">_xlfn.CONCAT(
IFERROR(_xlfn.CONCAT(_xlfn._xlws.FILTER(Cartographie_des_appareils_poste_de_travail_ordinateur_portable[Champ d''application],Cartographie_des_appareils_poste_de_travail_ordinateur_portable[Contrôle NIST]=B31)&amp;CHAR(10)),""),
IFERROR(_xlfn.CONCAT(_xlfn._xlws.FILTER(#REF!,#REF!=B31)&amp;CHAR(10)),""),
IFERROR(_xlfn.CONCAT(_xlfn._xlws.FILTER(Cartographie_des_appareils_écrans[Champ d''application],Cartographie_des_appareils_écrans[Contrôle NIST]=B31)&amp;CHAR(10)),""),
IFERROR(_xlfn.CONCAT(_xlfn._xlws.FILTER(Cartographie_des_appareils_Smartphones[Champ d''application],Cartographie_des_appareils_Smartphones[Contrôle NIST]=B31)&amp;CHAR(10)),"")
)</f>
        <v/>
      </c>
      <c r="H31" s="288">
        <f>SUMIF(Cartographie_des_appareils[Contrôle NIST],B31,Cartographie_des_appareils[Émissions totales (kgC02e)])</f>
        <v>0</v>
      </c>
      <c r="I31" s="289" t="str" cm="1">
        <f t="array" ref="I31">IFERROR(_xlfn.CONCAT(_xlfn._xlws.FILTER(Cartographie_des_appareils[Champ d''application],Cartographie_des_appareils[Contrôle NIST]=B31)&amp;CHAR(10)),"")</f>
        <v/>
      </c>
      <c r="J31" s="288">
        <f>SUMIF(Cartographie_des_serveurs_de_sauvegarde[Contrôle NIST],B31,Cartographie_des_serveurs_de_sauvegarde[Émissions totales (kgC02e)])</f>
        <v>0</v>
      </c>
      <c r="K31" s="289" t="str" cm="1">
        <f t="array" ref="K31">_xlfn.CONCAT(
IFERROR(_xlfn.CONCAT(_xlfn._xlws.FILTER(Cartographie_non_cyber_serveurs[Champ d''application],Cartographie_non_cyber_serveurs[Contrôle NIST]=B31)&amp;CHAR(10)),""),
IFERROR(_xlfn.CONCAT(_xlfn._xlws.FILTER(Cartographie_des_serveurs_de_sauvegarde[Champ d''application],Cartographie_des_serveurs_de_sauvegarde[Contrôle NIST]=B31)&amp;CHAR(10)),""),
)</f>
        <v/>
      </c>
      <c r="L31" s="288">
        <f>SUMIF(Cartographie_Solutions_Sur_Site[Contrôle NIST],B31,Cartographie_Solutions_Sur_Site[Émissions totales de carbone du NIST (kgCO2e)])
+SUMIF(Cartographie_Solutions_sur_Cloud[Contrôle NIST],B31,Cartographie_Solutions_sur_Cloud[Émissions totales de carbone du NIST (kgCO2e)])</f>
        <v>0</v>
      </c>
      <c r="M31" s="289" t="str" cm="1">
        <f t="array" ref="M31">_xlfn.CONCAT(
IFERROR(_xlfn.CONCAT(_xlfn._xlws.FILTER(Cartographie_Solutions_Sur_Site[Nom de l''application],#REF!=B31)&amp;CHAR(10)),""),
IFERROR(_xlfn.CONCAT(_xlfn._xlws.FILTER(Cartographie_Solutions_sur_Cloud[Nom de l''application],#REF!=B31)&amp;CHAR(10)),"")
)</f>
        <v/>
      </c>
      <c r="N31" s="288">
        <f>SUMIF(Cartographie_des_TM_externes[Contrôle NIST],B31,Cartographie_des_TM_externes[Émissions de carbone du NIST (kgCO2e)])
+SUMIF(Cartographie_des_externes_prix_fixes[Contrôle NIST],B31,Cartographie_des_externes_prix_fixes[Émissions de carbone du NIST (kgCO2e)])</f>
        <v>0</v>
      </c>
      <c r="O31" s="289" t="str" cm="1">
        <f t="array" ref="O31">_xlfn.CONCAT(
IFERROR(_xlfn.CONCAT(_xlfn._xlws.FILTER(Cartographie_des_TM_externes[Nom du service],#REF!=B31)&amp;CHAR(10)),""),
IFERROR(_xlfn.CONCAT(_xlfn._xlws.FILTER(Cartographie_des_externes_prix_fixes[Nom du service],#REF!=B31)&amp;CHAR(10)),""))</f>
        <v/>
      </c>
      <c r="P31" s="288">
        <f>SUMIF(Cartographie_voyage[Contrôle NIST],B31,Cartographie_voyage[Émissions totales (kgC02e)])</f>
        <v>0</v>
      </c>
      <c r="Q31" s="290" t="str" cm="1">
        <f t="array" ref="Q31">IFERROR(_xlfn.CONCAT(_xlfn._xlws.FILTER(Cartographie_voyage[Type de transport],Cartographie_voyage[Contrôle NIST]=B31)&amp;CHAR(10)),"")</f>
        <v/>
      </c>
      <c r="R31" s="288">
        <f>SUMIF(Cartographie_poste_de_travail_non_cyber_ordinateur_portable[Contrôle NIST],B31,Cartographie_poste_de_travail_non_cyber_ordinateur_portable[Émissions totales (kgC02e)])
+SUMIF(Cartographie_poste_de_travail_non_cyber_ordinateur_de_bureau[Contrôle NIST],B31,Cartographie_poste_de_travail_non_cyber_ordinateur_de_bureau[Émissions totales (kgC02e)])
+SUMIF(Cartographie_non_cyber_VDI[Contrôle NIST],B31,Cartographie_non_cyber_VDI[Émissions totales (kgC02e)])
+SUMIF(Cartographie_non_cyber_serveurs[Contrôle NIST],B31,Cartographie_non_cyber_serveurs[Émissions totales (kgC02e)])</f>
        <v>0</v>
      </c>
      <c r="S31" s="289" t="str" cm="1">
        <f t="array" ref="S31">_xlfn.CONCAT(
IFERROR(_xlfn.CONCAT(_xlfn._xlws.FILTER(Cartographie_poste_de_travail_non_cyber_ordinateur_portable[Champ d''application],Cartographie_poste_de_travail_non_cyber_ordinateur_portable[Contrôle NIST]=B31)&amp;CHAR(10)),""),
IFERROR(_xlfn.CONCAT(_xlfn._xlws.FILTER(Cartographie_poste_de_travail_non_cyber_ordinateur_de_bureau[Champ d''application],Cartographie_poste_de_travail_non_cyber_ordinateur_de_bureau[Contrôle NIST]=B31)&amp;CHAR(10)),""),
IFERROR(_xlfn.CONCAT(_xlfn._xlws.FILTER(Cartographie_non_cyber_VDI[Champ d''application],Cartographie_non_cyber_VDI[Contrôle NIST]=B31)&amp;CHAR(10)),""),
IFERROR(_xlfn.CONCAT(_xlfn._xlws.FILTER(Cartographie_non_cyber_serveurs[Champ d''application],Cartographie_non_cyber_serveurs[Contrôle NIST]=B31)&amp;CHAR(10)),"")
)</f>
        <v/>
      </c>
    </row>
    <row r="32" spans="1:19" ht="73.5" customHeight="1" x14ac:dyDescent="0.3">
      <c r="A32" s="284" t="s">
        <v>3</v>
      </c>
      <c r="B32" s="285" t="s">
        <v>25</v>
      </c>
      <c r="C32" s="284" t="s">
        <v>472</v>
      </c>
      <c r="D3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2" s="287">
        <f>Tableau_de_bord_par_contrôle[[#This Row],[Émissions annuelles totales de CO2e(kgCO2e)]]/(1000*Total)</f>
        <v>0</v>
      </c>
      <c r="F32" s="288">
        <f xml:space="preserve">
SUMIF(Cartographie_des_appareils_poste_de_travail_ordinateur_portable[Contrôle NIST],B32,Cartographie_des_appareils_poste_de_travail_ordinateur_portable[Émissions totales (kgC02e)])
+SUMIF(Cartographie_des_appareils_poste_de_travail_ordinateur_de_bureau[Contrôle NIST],B32,Cartographie_des_appareils_poste_de_travail_ordinateur_de_bureau[Émissions totales (kgC02e)])
+SUMIF(Cartographie_des_appareils_écrans[Contrôle NIST],B32,Cartographie_des_appareils_écrans[Émissions totales (kgC02e)])+SUMIF(Cartographie_des_appareils_Smartphones[Contrôle NIST],B32,Cartographie_des_appareils_Smartphones[Émissions totales (kgC02e)])</f>
        <v>0</v>
      </c>
      <c r="G32" s="289" t="str" cm="1">
        <f t="array" ref="G32">_xlfn.CONCAT(
IFERROR(_xlfn.CONCAT(_xlfn._xlws.FILTER(Cartographie_des_appareils_poste_de_travail_ordinateur_portable[Champ d''application],Cartographie_des_appareils_poste_de_travail_ordinateur_portable[Contrôle NIST]=B32)&amp;CHAR(10)),""),
IFERROR(_xlfn.CONCAT(_xlfn._xlws.FILTER(#REF!,#REF!=B32)&amp;CHAR(10)),""),
IFERROR(_xlfn.CONCAT(_xlfn._xlws.FILTER(Cartographie_des_appareils_écrans[Champ d''application],Cartographie_des_appareils_écrans[Contrôle NIST]=B32)&amp;CHAR(10)),""),
IFERROR(_xlfn.CONCAT(_xlfn._xlws.FILTER(Cartographie_des_appareils_Smartphones[Champ d''application],Cartographie_des_appareils_Smartphones[Contrôle NIST]=B32)&amp;CHAR(10)),"")
)</f>
        <v/>
      </c>
      <c r="H32" s="288">
        <f>SUMIF(Cartographie_des_appareils[Contrôle NIST],B32,Cartographie_des_appareils[Émissions totales (kgC02e)])</f>
        <v>0</v>
      </c>
      <c r="I32" s="289" t="str" cm="1">
        <f t="array" ref="I32">IFERROR(_xlfn.CONCAT(_xlfn._xlws.FILTER(Cartographie_des_appareils[Champ d''application],Cartographie_des_appareils[Contrôle NIST]=B32)&amp;CHAR(10)),"")</f>
        <v/>
      </c>
      <c r="J32" s="288">
        <f>SUMIF(Cartographie_des_serveurs_de_sauvegarde[Contrôle NIST],B32,Cartographie_des_serveurs_de_sauvegarde[Émissions totales (kgC02e)])</f>
        <v>0</v>
      </c>
      <c r="K32" s="289" t="str" cm="1">
        <f t="array" ref="K32">_xlfn.CONCAT(
IFERROR(_xlfn.CONCAT(_xlfn._xlws.FILTER(Cartographie_non_cyber_serveurs[Champ d''application],Cartographie_non_cyber_serveurs[Contrôle NIST]=B32)&amp;CHAR(10)),""),
IFERROR(_xlfn.CONCAT(_xlfn._xlws.FILTER(Cartographie_des_serveurs_de_sauvegarde[Champ d''application],Cartographie_des_serveurs_de_sauvegarde[Contrôle NIST]=B32)&amp;CHAR(10)),""),
)</f>
        <v/>
      </c>
      <c r="L32" s="288">
        <f>SUMIF(Cartographie_Solutions_Sur_Site[Contrôle NIST],B32,Cartographie_Solutions_Sur_Site[Émissions totales de carbone du NIST (kgCO2e)])
+SUMIF(Cartographie_Solutions_sur_Cloud[Contrôle NIST],B32,Cartographie_Solutions_sur_Cloud[Émissions totales de carbone du NIST (kgCO2e)])</f>
        <v>0</v>
      </c>
      <c r="M32" s="289" t="str" cm="1">
        <f t="array" ref="M32">_xlfn.CONCAT(
IFERROR(_xlfn.CONCAT(_xlfn._xlws.FILTER(Cartographie_Solutions_Sur_Site[Nom de l''application],#REF!=B32)&amp;CHAR(10)),""),
IFERROR(_xlfn.CONCAT(_xlfn._xlws.FILTER(Cartographie_Solutions_sur_Cloud[Nom de l''application],#REF!=B32)&amp;CHAR(10)),"")
)</f>
        <v/>
      </c>
      <c r="N32" s="288">
        <f>SUMIF(Cartographie_des_TM_externes[Contrôle NIST],B32,Cartographie_des_TM_externes[Émissions de carbone du NIST (kgCO2e)])
+SUMIF(Cartographie_des_externes_prix_fixes[Contrôle NIST],B32,Cartographie_des_externes_prix_fixes[Émissions de carbone du NIST (kgCO2e)])</f>
        <v>0</v>
      </c>
      <c r="O32" s="289" t="str" cm="1">
        <f t="array" ref="O32">_xlfn.CONCAT(
IFERROR(_xlfn.CONCAT(_xlfn._xlws.FILTER(Cartographie_des_TM_externes[Nom du service],#REF!=B32)&amp;CHAR(10)),""),
IFERROR(_xlfn.CONCAT(_xlfn._xlws.FILTER(Cartographie_des_externes_prix_fixes[Nom du service],#REF!=B32)&amp;CHAR(10)),""))</f>
        <v/>
      </c>
      <c r="P32" s="288">
        <f>SUMIF(Cartographie_voyage[Contrôle NIST],B32,Cartographie_voyage[Émissions totales (kgC02e)])</f>
        <v>0</v>
      </c>
      <c r="Q32" s="290" t="str" cm="1">
        <f t="array" ref="Q32">IFERROR(_xlfn.CONCAT(_xlfn._xlws.FILTER(Cartographie_voyage[Type de transport],Cartographie_voyage[Contrôle NIST]=B32)&amp;CHAR(10)),"")</f>
        <v/>
      </c>
      <c r="R32" s="288">
        <f>SUMIF(Cartographie_poste_de_travail_non_cyber_ordinateur_portable[Contrôle NIST],B32,Cartographie_poste_de_travail_non_cyber_ordinateur_portable[Émissions totales (kgC02e)])
+SUMIF(Cartographie_poste_de_travail_non_cyber_ordinateur_de_bureau[Contrôle NIST],B32,Cartographie_poste_de_travail_non_cyber_ordinateur_de_bureau[Émissions totales (kgC02e)])
+SUMIF(Cartographie_non_cyber_VDI[Contrôle NIST],B32,Cartographie_non_cyber_VDI[Émissions totales (kgC02e)])
+SUMIF(Cartographie_non_cyber_serveurs[Contrôle NIST],B32,Cartographie_non_cyber_serveurs[Émissions totales (kgC02e)])</f>
        <v>0</v>
      </c>
      <c r="S32" s="289" t="str" cm="1">
        <f t="array" ref="S32">_xlfn.CONCAT(
IFERROR(_xlfn.CONCAT(_xlfn._xlws.FILTER(Cartographie_poste_de_travail_non_cyber_ordinateur_portable[Champ d''application],Cartographie_poste_de_travail_non_cyber_ordinateur_portable[Contrôle NIST]=B32)&amp;CHAR(10)),""),
IFERROR(_xlfn.CONCAT(_xlfn._xlws.FILTER(Cartographie_poste_de_travail_non_cyber_ordinateur_de_bureau[Champ d''application],Cartographie_poste_de_travail_non_cyber_ordinateur_de_bureau[Contrôle NIST]=B32)&amp;CHAR(10)),""),
IFERROR(_xlfn.CONCAT(_xlfn._xlws.FILTER(Cartographie_non_cyber_VDI[Champ d''application],Cartographie_non_cyber_VDI[Contrôle NIST]=B32)&amp;CHAR(10)),""),
IFERROR(_xlfn.CONCAT(_xlfn._xlws.FILTER(Cartographie_non_cyber_serveurs[Champ d''application],Cartographie_non_cyber_serveurs[Contrôle NIST]=B32)&amp;CHAR(10)),"")
)</f>
        <v/>
      </c>
    </row>
    <row r="33" spans="1:19" ht="73.5" customHeight="1" x14ac:dyDescent="0.3">
      <c r="A33" s="284" t="s">
        <v>3</v>
      </c>
      <c r="B33" s="285" t="s">
        <v>26</v>
      </c>
      <c r="C33" s="284" t="s">
        <v>473</v>
      </c>
      <c r="D3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3" s="287">
        <f>Tableau_de_bord_par_contrôle[[#This Row],[Émissions annuelles totales de CO2e(kgCO2e)]]/(1000*Total)</f>
        <v>0</v>
      </c>
      <c r="F33" s="288">
        <f xml:space="preserve">
SUMIF(Cartographie_des_appareils_poste_de_travail_ordinateur_portable[Contrôle NIST],B33,Cartographie_des_appareils_poste_de_travail_ordinateur_portable[Émissions totales (kgC02e)])
+SUMIF(Cartographie_des_appareils_poste_de_travail_ordinateur_de_bureau[Contrôle NIST],B33,Cartographie_des_appareils_poste_de_travail_ordinateur_de_bureau[Émissions totales (kgC02e)])
+SUMIF(Cartographie_des_appareils_écrans[Contrôle NIST],B33,Cartographie_des_appareils_écrans[Émissions totales (kgC02e)])+SUMIF(Cartographie_des_appareils_Smartphones[Contrôle NIST],B33,Cartographie_des_appareils_Smartphones[Émissions totales (kgC02e)])</f>
        <v>0</v>
      </c>
      <c r="G33" s="289" t="str" cm="1">
        <f t="array" ref="G33">_xlfn.CONCAT(
IFERROR(_xlfn.CONCAT(_xlfn._xlws.FILTER(Cartographie_des_appareils_poste_de_travail_ordinateur_portable[Champ d''application],Cartographie_des_appareils_poste_de_travail_ordinateur_portable[Contrôle NIST]=B33)&amp;CHAR(10)),""),
IFERROR(_xlfn.CONCAT(_xlfn._xlws.FILTER(#REF!,#REF!=B33)&amp;CHAR(10)),""),
IFERROR(_xlfn.CONCAT(_xlfn._xlws.FILTER(Cartographie_des_appareils_écrans[Champ d''application],Cartographie_des_appareils_écrans[Contrôle NIST]=B33)&amp;CHAR(10)),""),
IFERROR(_xlfn.CONCAT(_xlfn._xlws.FILTER(Cartographie_des_appareils_Smartphones[Champ d''application],Cartographie_des_appareils_Smartphones[Contrôle NIST]=B33)&amp;CHAR(10)),"")
)</f>
        <v/>
      </c>
      <c r="H33" s="288">
        <f>SUMIF(Cartographie_des_appareils[Contrôle NIST],B33,Cartographie_des_appareils[Émissions totales (kgC02e)])</f>
        <v>0</v>
      </c>
      <c r="I33" s="289" t="str" cm="1">
        <f t="array" ref="I33">IFERROR(_xlfn.CONCAT(_xlfn._xlws.FILTER(Cartographie_des_appareils[Champ d''application],Cartographie_des_appareils[Contrôle NIST]=B33)&amp;CHAR(10)),"")</f>
        <v/>
      </c>
      <c r="J33" s="288">
        <f>SUMIF(Cartographie_des_serveurs_de_sauvegarde[Contrôle NIST],B33,Cartographie_des_serveurs_de_sauvegarde[Émissions totales (kgC02e)])</f>
        <v>0</v>
      </c>
      <c r="K33" s="289" t="str" cm="1">
        <f t="array" ref="K33">_xlfn.CONCAT(
IFERROR(_xlfn.CONCAT(_xlfn._xlws.FILTER(Cartographie_non_cyber_serveurs[Champ d''application],Cartographie_non_cyber_serveurs[Contrôle NIST]=B33)&amp;CHAR(10)),""),
IFERROR(_xlfn.CONCAT(_xlfn._xlws.FILTER(Cartographie_des_serveurs_de_sauvegarde[Champ d''application],Cartographie_des_serveurs_de_sauvegarde[Contrôle NIST]=B33)&amp;CHAR(10)),""),
)</f>
        <v/>
      </c>
      <c r="L33" s="288">
        <f>SUMIF(Cartographie_Solutions_Sur_Site[Contrôle NIST],B33,Cartographie_Solutions_Sur_Site[Émissions totales de carbone du NIST (kgCO2e)])
+SUMIF(Cartographie_Solutions_sur_Cloud[Contrôle NIST],B33,Cartographie_Solutions_sur_Cloud[Émissions totales de carbone du NIST (kgCO2e)])</f>
        <v>0</v>
      </c>
      <c r="M33" s="289" t="str" cm="1">
        <f t="array" ref="M33">_xlfn.CONCAT(
IFERROR(_xlfn.CONCAT(_xlfn._xlws.FILTER(Cartographie_Solutions_Sur_Site[Nom de l''application],#REF!=B33)&amp;CHAR(10)),""),
IFERROR(_xlfn.CONCAT(_xlfn._xlws.FILTER(Cartographie_Solutions_sur_Cloud[Nom de l''application],#REF!=B33)&amp;CHAR(10)),"")
)</f>
        <v/>
      </c>
      <c r="N33" s="288">
        <f>SUMIF(Cartographie_des_TM_externes[Contrôle NIST],B33,Cartographie_des_TM_externes[Émissions de carbone du NIST (kgCO2e)])
+SUMIF(Cartographie_des_externes_prix_fixes[Contrôle NIST],B33,Cartographie_des_externes_prix_fixes[Émissions de carbone du NIST (kgCO2e)])</f>
        <v>0</v>
      </c>
      <c r="O33" s="289" t="str" cm="1">
        <f t="array" ref="O33">_xlfn.CONCAT(
IFERROR(_xlfn.CONCAT(_xlfn._xlws.FILTER(Cartographie_des_TM_externes[Nom du service],#REF!=B33)&amp;CHAR(10)),""),
IFERROR(_xlfn.CONCAT(_xlfn._xlws.FILTER(Cartographie_des_externes_prix_fixes[Nom du service],#REF!=B33)&amp;CHAR(10)),""))</f>
        <v/>
      </c>
      <c r="P33" s="288">
        <f>SUMIF(Cartographie_voyage[Contrôle NIST],B33,Cartographie_voyage[Émissions totales (kgC02e)])</f>
        <v>0</v>
      </c>
      <c r="Q33" s="290" t="str" cm="1">
        <f t="array" ref="Q33">IFERROR(_xlfn.CONCAT(_xlfn._xlws.FILTER(Cartographie_voyage[Type de transport],Cartographie_voyage[Contrôle NIST]=B33)&amp;CHAR(10)),"")</f>
        <v/>
      </c>
      <c r="R33" s="288">
        <f>SUMIF(Cartographie_poste_de_travail_non_cyber_ordinateur_portable[Contrôle NIST],B33,Cartographie_poste_de_travail_non_cyber_ordinateur_portable[Émissions totales (kgC02e)])
+SUMIF(Cartographie_poste_de_travail_non_cyber_ordinateur_de_bureau[Contrôle NIST],B33,Cartographie_poste_de_travail_non_cyber_ordinateur_de_bureau[Émissions totales (kgC02e)])
+SUMIF(Cartographie_non_cyber_VDI[Contrôle NIST],B33,Cartographie_non_cyber_VDI[Émissions totales (kgC02e)])
+SUMIF(Cartographie_non_cyber_serveurs[Contrôle NIST],B33,Cartographie_non_cyber_serveurs[Émissions totales (kgC02e)])</f>
        <v>0</v>
      </c>
      <c r="S33" s="289" t="str" cm="1">
        <f t="array" ref="S33">_xlfn.CONCAT(
IFERROR(_xlfn.CONCAT(_xlfn._xlws.FILTER(Cartographie_poste_de_travail_non_cyber_ordinateur_portable[Champ d''application],Cartographie_poste_de_travail_non_cyber_ordinateur_portable[Contrôle NIST]=B33)&amp;CHAR(10)),""),
IFERROR(_xlfn.CONCAT(_xlfn._xlws.FILTER(Cartographie_poste_de_travail_non_cyber_ordinateur_de_bureau[Champ d''application],Cartographie_poste_de_travail_non_cyber_ordinateur_de_bureau[Contrôle NIST]=B33)&amp;CHAR(10)),""),
IFERROR(_xlfn.CONCAT(_xlfn._xlws.FILTER(Cartographie_non_cyber_VDI[Champ d''application],Cartographie_non_cyber_VDI[Contrôle NIST]=B33)&amp;CHAR(10)),""),
IFERROR(_xlfn.CONCAT(_xlfn._xlws.FILTER(Cartographie_non_cyber_serveurs[Champ d''application],Cartographie_non_cyber_serveurs[Contrôle NIST]=B33)&amp;CHAR(10)),"")
)</f>
        <v/>
      </c>
    </row>
    <row r="34" spans="1:19" ht="73.5" customHeight="1" x14ac:dyDescent="0.3">
      <c r="A34" s="284" t="s">
        <v>3</v>
      </c>
      <c r="B34" s="285" t="s">
        <v>27</v>
      </c>
      <c r="C34" s="284" t="s">
        <v>474</v>
      </c>
      <c r="D3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4" s="287">
        <f>Tableau_de_bord_par_contrôle[[#This Row],[Émissions annuelles totales de CO2e(kgCO2e)]]/(1000*Total)</f>
        <v>0</v>
      </c>
      <c r="F34" s="288">
        <f xml:space="preserve">
SUMIF(Cartographie_des_appareils_poste_de_travail_ordinateur_portable[Contrôle NIST],B34,Cartographie_des_appareils_poste_de_travail_ordinateur_portable[Émissions totales (kgC02e)])
+SUMIF(Cartographie_des_appareils_poste_de_travail_ordinateur_de_bureau[Contrôle NIST],B34,Cartographie_des_appareils_poste_de_travail_ordinateur_de_bureau[Émissions totales (kgC02e)])
+SUMIF(Cartographie_des_appareils_écrans[Contrôle NIST],B34,Cartographie_des_appareils_écrans[Émissions totales (kgC02e)])+SUMIF(Cartographie_des_appareils_Smartphones[Contrôle NIST],B34,Cartographie_des_appareils_Smartphones[Émissions totales (kgC02e)])</f>
        <v>0</v>
      </c>
      <c r="G34" s="289" t="str" cm="1">
        <f t="array" ref="G34">_xlfn.CONCAT(
IFERROR(_xlfn.CONCAT(_xlfn._xlws.FILTER(Cartographie_des_appareils_poste_de_travail_ordinateur_portable[Champ d''application],Cartographie_des_appareils_poste_de_travail_ordinateur_portable[Contrôle NIST]=B34)&amp;CHAR(10)),""),
IFERROR(_xlfn.CONCAT(_xlfn._xlws.FILTER(#REF!,#REF!=B34)&amp;CHAR(10)),""),
IFERROR(_xlfn.CONCAT(_xlfn._xlws.FILTER(Cartographie_des_appareils_écrans[Champ d''application],Cartographie_des_appareils_écrans[Contrôle NIST]=B34)&amp;CHAR(10)),""),
IFERROR(_xlfn.CONCAT(_xlfn._xlws.FILTER(Cartographie_des_appareils_Smartphones[Champ d''application],Cartographie_des_appareils_Smartphones[Contrôle NIST]=B34)&amp;CHAR(10)),"")
)</f>
        <v/>
      </c>
      <c r="H34" s="288">
        <f>SUMIF(Cartographie_des_appareils[Contrôle NIST],B34,Cartographie_des_appareils[Émissions totales (kgC02e)])</f>
        <v>0</v>
      </c>
      <c r="I34" s="289" t="str" cm="1">
        <f t="array" ref="I34">IFERROR(_xlfn.CONCAT(_xlfn._xlws.FILTER(Cartographie_des_appareils[Champ d''application],Cartographie_des_appareils[Contrôle NIST]=B34)&amp;CHAR(10)),"")</f>
        <v/>
      </c>
      <c r="J34" s="288">
        <f>SUMIF(Cartographie_des_serveurs_de_sauvegarde[Contrôle NIST],B34,Cartographie_des_serveurs_de_sauvegarde[Émissions totales (kgC02e)])</f>
        <v>0</v>
      </c>
      <c r="K34" s="289" t="str" cm="1">
        <f t="array" ref="K34">_xlfn.CONCAT(
IFERROR(_xlfn.CONCAT(_xlfn._xlws.FILTER(Cartographie_non_cyber_serveurs[Champ d''application],Cartographie_non_cyber_serveurs[Contrôle NIST]=B34)&amp;CHAR(10)),""),
IFERROR(_xlfn.CONCAT(_xlfn._xlws.FILTER(Cartographie_des_serveurs_de_sauvegarde[Champ d''application],Cartographie_des_serveurs_de_sauvegarde[Contrôle NIST]=B34)&amp;CHAR(10)),""),
)</f>
        <v/>
      </c>
      <c r="L34" s="288">
        <f>SUMIF(Cartographie_Solutions_Sur_Site[Contrôle NIST],B34,Cartographie_Solutions_Sur_Site[Émissions totales de carbone du NIST (kgCO2e)])
+SUMIF(Cartographie_Solutions_sur_Cloud[Contrôle NIST],B34,Cartographie_Solutions_sur_Cloud[Émissions totales de carbone du NIST (kgCO2e)])</f>
        <v>0</v>
      </c>
      <c r="M34" s="289" t="str" cm="1">
        <f t="array" ref="M34">_xlfn.CONCAT(
IFERROR(_xlfn.CONCAT(_xlfn._xlws.FILTER(Cartographie_Solutions_Sur_Site[Nom de l''application],#REF!=B34)&amp;CHAR(10)),""),
IFERROR(_xlfn.CONCAT(_xlfn._xlws.FILTER(Cartographie_Solutions_sur_Cloud[Nom de l''application],#REF!=B34)&amp;CHAR(10)),"")
)</f>
        <v/>
      </c>
      <c r="N34" s="288">
        <f>SUMIF(Cartographie_des_TM_externes[Contrôle NIST],B34,Cartographie_des_TM_externes[Émissions de carbone du NIST (kgCO2e)])
+SUMIF(Cartographie_des_externes_prix_fixes[Contrôle NIST],B34,Cartographie_des_externes_prix_fixes[Émissions de carbone du NIST (kgCO2e)])</f>
        <v>0</v>
      </c>
      <c r="O34" s="289" t="str" cm="1">
        <f t="array" ref="O34">_xlfn.CONCAT(
IFERROR(_xlfn.CONCAT(_xlfn._xlws.FILTER(Cartographie_des_TM_externes[Nom du service],#REF!=B34)&amp;CHAR(10)),""),
IFERROR(_xlfn.CONCAT(_xlfn._xlws.FILTER(Cartographie_des_externes_prix_fixes[Nom du service],#REF!=B34)&amp;CHAR(10)),""))</f>
        <v/>
      </c>
      <c r="P34" s="288">
        <f>SUMIF(Cartographie_voyage[Contrôle NIST],B34,Cartographie_voyage[Émissions totales (kgC02e)])</f>
        <v>0</v>
      </c>
      <c r="Q34" s="290" t="str" cm="1">
        <f t="array" ref="Q34">IFERROR(_xlfn.CONCAT(_xlfn._xlws.FILTER(Cartographie_voyage[Type de transport],Cartographie_voyage[Contrôle NIST]=B34)&amp;CHAR(10)),"")</f>
        <v/>
      </c>
      <c r="R34" s="288">
        <f>SUMIF(Cartographie_poste_de_travail_non_cyber_ordinateur_portable[Contrôle NIST],B34,Cartographie_poste_de_travail_non_cyber_ordinateur_portable[Émissions totales (kgC02e)])
+SUMIF(Cartographie_poste_de_travail_non_cyber_ordinateur_de_bureau[Contrôle NIST],B34,Cartographie_poste_de_travail_non_cyber_ordinateur_de_bureau[Émissions totales (kgC02e)])
+SUMIF(Cartographie_non_cyber_VDI[Contrôle NIST],B34,Cartographie_non_cyber_VDI[Émissions totales (kgC02e)])
+SUMIF(Cartographie_non_cyber_serveurs[Contrôle NIST],B34,Cartographie_non_cyber_serveurs[Émissions totales (kgC02e)])</f>
        <v>0</v>
      </c>
      <c r="S34" s="289" t="str" cm="1">
        <f t="array" ref="S34">_xlfn.CONCAT(
IFERROR(_xlfn.CONCAT(_xlfn._xlws.FILTER(Cartographie_poste_de_travail_non_cyber_ordinateur_portable[Champ d''application],Cartographie_poste_de_travail_non_cyber_ordinateur_portable[Contrôle NIST]=B34)&amp;CHAR(10)),""),
IFERROR(_xlfn.CONCAT(_xlfn._xlws.FILTER(Cartographie_poste_de_travail_non_cyber_ordinateur_de_bureau[Champ d''application],Cartographie_poste_de_travail_non_cyber_ordinateur_de_bureau[Contrôle NIST]=B34)&amp;CHAR(10)),""),
IFERROR(_xlfn.CONCAT(_xlfn._xlws.FILTER(Cartographie_non_cyber_VDI[Champ d''application],Cartographie_non_cyber_VDI[Contrôle NIST]=B34)&amp;CHAR(10)),""),
IFERROR(_xlfn.CONCAT(_xlfn._xlws.FILTER(Cartographie_non_cyber_serveurs[Champ d''application],Cartographie_non_cyber_serveurs[Contrôle NIST]=B34)&amp;CHAR(10)),"")
)</f>
        <v/>
      </c>
    </row>
    <row r="35" spans="1:19" ht="73.5" customHeight="1" x14ac:dyDescent="0.3">
      <c r="A35" s="284" t="s">
        <v>3</v>
      </c>
      <c r="B35" s="285" t="s">
        <v>28</v>
      </c>
      <c r="C35" s="284" t="s">
        <v>475</v>
      </c>
      <c r="D3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5" s="287">
        <f>Tableau_de_bord_par_contrôle[[#This Row],[Émissions annuelles totales de CO2e(kgCO2e)]]/(1000*Total)</f>
        <v>0</v>
      </c>
      <c r="F35" s="288">
        <f xml:space="preserve">
SUMIF(Cartographie_des_appareils_poste_de_travail_ordinateur_portable[Contrôle NIST],B35,Cartographie_des_appareils_poste_de_travail_ordinateur_portable[Émissions totales (kgC02e)])
+SUMIF(Cartographie_des_appareils_poste_de_travail_ordinateur_de_bureau[Contrôle NIST],B35,Cartographie_des_appareils_poste_de_travail_ordinateur_de_bureau[Émissions totales (kgC02e)])
+SUMIF(Cartographie_des_appareils_écrans[Contrôle NIST],B35,Cartographie_des_appareils_écrans[Émissions totales (kgC02e)])+SUMIF(Cartographie_des_appareils_Smartphones[Contrôle NIST],B35,Cartographie_des_appareils_Smartphones[Émissions totales (kgC02e)])</f>
        <v>0</v>
      </c>
      <c r="G35" s="289" t="str" cm="1">
        <f t="array" ref="G35">_xlfn.CONCAT(
IFERROR(_xlfn.CONCAT(_xlfn._xlws.FILTER(Cartographie_des_appareils_poste_de_travail_ordinateur_portable[Champ d''application],Cartographie_des_appareils_poste_de_travail_ordinateur_portable[Contrôle NIST]=B35)&amp;CHAR(10)),""),
IFERROR(_xlfn.CONCAT(_xlfn._xlws.FILTER(#REF!,#REF!=B35)&amp;CHAR(10)),""),
IFERROR(_xlfn.CONCAT(_xlfn._xlws.FILTER(Cartographie_des_appareils_écrans[Champ d''application],Cartographie_des_appareils_écrans[Contrôle NIST]=B35)&amp;CHAR(10)),""),
IFERROR(_xlfn.CONCAT(_xlfn._xlws.FILTER(Cartographie_des_appareils_Smartphones[Champ d''application],Cartographie_des_appareils_Smartphones[Contrôle NIST]=B35)&amp;CHAR(10)),"")
)</f>
        <v/>
      </c>
      <c r="H35" s="288">
        <f>SUMIF(Cartographie_des_appareils[Contrôle NIST],B35,Cartographie_des_appareils[Émissions totales (kgC02e)])</f>
        <v>0</v>
      </c>
      <c r="I35" s="289" t="str" cm="1">
        <f t="array" ref="I35">IFERROR(_xlfn.CONCAT(_xlfn._xlws.FILTER(Cartographie_des_appareils[Champ d''application],Cartographie_des_appareils[Contrôle NIST]=B35)&amp;CHAR(10)),"")</f>
        <v/>
      </c>
      <c r="J35" s="288">
        <f>SUMIF(Cartographie_des_serveurs_de_sauvegarde[Contrôle NIST],B35,Cartographie_des_serveurs_de_sauvegarde[Émissions totales (kgC02e)])</f>
        <v>0</v>
      </c>
      <c r="K35" s="289" t="str" cm="1">
        <f t="array" ref="K35">_xlfn.CONCAT(
IFERROR(_xlfn.CONCAT(_xlfn._xlws.FILTER(Cartographie_non_cyber_serveurs[Champ d''application],Cartographie_non_cyber_serveurs[Contrôle NIST]=B35)&amp;CHAR(10)),""),
IFERROR(_xlfn.CONCAT(_xlfn._xlws.FILTER(Cartographie_des_serveurs_de_sauvegarde[Champ d''application],Cartographie_des_serveurs_de_sauvegarde[Contrôle NIST]=B35)&amp;CHAR(10)),""),
)</f>
        <v/>
      </c>
      <c r="L35" s="288">
        <f>SUMIF(Cartographie_Solutions_Sur_Site[Contrôle NIST],B35,Cartographie_Solutions_Sur_Site[Émissions totales de carbone du NIST (kgCO2e)])
+SUMIF(Cartographie_Solutions_sur_Cloud[Contrôle NIST],B35,Cartographie_Solutions_sur_Cloud[Émissions totales de carbone du NIST (kgCO2e)])</f>
        <v>0</v>
      </c>
      <c r="M35" s="289" t="str" cm="1">
        <f t="array" ref="M35">_xlfn.CONCAT(
IFERROR(_xlfn.CONCAT(_xlfn._xlws.FILTER(Cartographie_Solutions_Sur_Site[Nom de l''application],#REF!=B35)&amp;CHAR(10)),""),
IFERROR(_xlfn.CONCAT(_xlfn._xlws.FILTER(Cartographie_Solutions_sur_Cloud[Nom de l''application],#REF!=B35)&amp;CHAR(10)),"")
)</f>
        <v/>
      </c>
      <c r="N35" s="288">
        <f>SUMIF(Cartographie_des_TM_externes[Contrôle NIST],B35,Cartographie_des_TM_externes[Émissions de carbone du NIST (kgCO2e)])
+SUMIF(Cartographie_des_externes_prix_fixes[Contrôle NIST],B35,Cartographie_des_externes_prix_fixes[Émissions de carbone du NIST (kgCO2e)])</f>
        <v>0</v>
      </c>
      <c r="O35" s="289" t="str" cm="1">
        <f t="array" ref="O35">_xlfn.CONCAT(
IFERROR(_xlfn.CONCAT(_xlfn._xlws.FILTER(Cartographie_des_TM_externes[Nom du service],#REF!=B35)&amp;CHAR(10)),""),
IFERROR(_xlfn.CONCAT(_xlfn._xlws.FILTER(Cartographie_des_externes_prix_fixes[Nom du service],#REF!=B35)&amp;CHAR(10)),""))</f>
        <v/>
      </c>
      <c r="P35" s="288">
        <f>SUMIF(Cartographie_voyage[Contrôle NIST],B35,Cartographie_voyage[Émissions totales (kgC02e)])</f>
        <v>0</v>
      </c>
      <c r="Q35" s="290" t="str" cm="1">
        <f t="array" ref="Q35">IFERROR(_xlfn.CONCAT(_xlfn._xlws.FILTER(Cartographie_voyage[Type de transport],Cartographie_voyage[Contrôle NIST]=B35)&amp;CHAR(10)),"")</f>
        <v/>
      </c>
      <c r="R35" s="288">
        <f>SUMIF(Cartographie_poste_de_travail_non_cyber_ordinateur_portable[Contrôle NIST],B35,Cartographie_poste_de_travail_non_cyber_ordinateur_portable[Émissions totales (kgC02e)])
+SUMIF(Cartographie_poste_de_travail_non_cyber_ordinateur_de_bureau[Contrôle NIST],B35,Cartographie_poste_de_travail_non_cyber_ordinateur_de_bureau[Émissions totales (kgC02e)])
+SUMIF(Cartographie_non_cyber_VDI[Contrôle NIST],B35,Cartographie_non_cyber_VDI[Émissions totales (kgC02e)])
+SUMIF(Cartographie_non_cyber_serveurs[Contrôle NIST],B35,Cartographie_non_cyber_serveurs[Émissions totales (kgC02e)])</f>
        <v>0</v>
      </c>
      <c r="S35" s="289" t="str" cm="1">
        <f t="array" ref="S35">_xlfn.CONCAT(
IFERROR(_xlfn.CONCAT(_xlfn._xlws.FILTER(Cartographie_poste_de_travail_non_cyber_ordinateur_portable[Champ d''application],Cartographie_poste_de_travail_non_cyber_ordinateur_portable[Contrôle NIST]=B35)&amp;CHAR(10)),""),
IFERROR(_xlfn.CONCAT(_xlfn._xlws.FILTER(Cartographie_poste_de_travail_non_cyber_ordinateur_de_bureau[Champ d''application],Cartographie_poste_de_travail_non_cyber_ordinateur_de_bureau[Contrôle NIST]=B35)&amp;CHAR(10)),""),
IFERROR(_xlfn.CONCAT(_xlfn._xlws.FILTER(Cartographie_non_cyber_VDI[Champ d''application],Cartographie_non_cyber_VDI[Contrôle NIST]=B35)&amp;CHAR(10)),""),
IFERROR(_xlfn.CONCAT(_xlfn._xlws.FILTER(Cartographie_non_cyber_serveurs[Champ d''application],Cartographie_non_cyber_serveurs[Contrôle NIST]=B35)&amp;CHAR(10)),"")
)</f>
        <v/>
      </c>
    </row>
    <row r="36" spans="1:19" ht="73.5" customHeight="1" x14ac:dyDescent="0.3">
      <c r="A36" s="284" t="s">
        <v>3</v>
      </c>
      <c r="B36" s="285" t="s">
        <v>29</v>
      </c>
      <c r="C36" s="284" t="s">
        <v>476</v>
      </c>
      <c r="D3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6" s="287">
        <f>Tableau_de_bord_par_contrôle[[#This Row],[Émissions annuelles totales de CO2e(kgCO2e)]]/(1000*Total)</f>
        <v>0</v>
      </c>
      <c r="F36" s="288">
        <f xml:space="preserve">
SUMIF(Cartographie_des_appareils_poste_de_travail_ordinateur_portable[Contrôle NIST],B36,Cartographie_des_appareils_poste_de_travail_ordinateur_portable[Émissions totales (kgC02e)])
+SUMIF(Cartographie_des_appareils_poste_de_travail_ordinateur_de_bureau[Contrôle NIST],B36,Cartographie_des_appareils_poste_de_travail_ordinateur_de_bureau[Émissions totales (kgC02e)])
+SUMIF(Cartographie_des_appareils_écrans[Contrôle NIST],B36,Cartographie_des_appareils_écrans[Émissions totales (kgC02e)])+SUMIF(Cartographie_des_appareils_Smartphones[Contrôle NIST],B36,Cartographie_des_appareils_Smartphones[Émissions totales (kgC02e)])</f>
        <v>0</v>
      </c>
      <c r="G36" s="289" t="str" cm="1">
        <f t="array" ref="G36">_xlfn.CONCAT(
IFERROR(_xlfn.CONCAT(_xlfn._xlws.FILTER(Cartographie_des_appareils_poste_de_travail_ordinateur_portable[Champ d''application],Cartographie_des_appareils_poste_de_travail_ordinateur_portable[Contrôle NIST]=B36)&amp;CHAR(10)),""),
IFERROR(_xlfn.CONCAT(_xlfn._xlws.FILTER(#REF!,#REF!=B36)&amp;CHAR(10)),""),
IFERROR(_xlfn.CONCAT(_xlfn._xlws.FILTER(Cartographie_des_appareils_écrans[Champ d''application],Cartographie_des_appareils_écrans[Contrôle NIST]=B36)&amp;CHAR(10)),""),
IFERROR(_xlfn.CONCAT(_xlfn._xlws.FILTER(Cartographie_des_appareils_Smartphones[Champ d''application],Cartographie_des_appareils_Smartphones[Contrôle NIST]=B36)&amp;CHAR(10)),"")
)</f>
        <v/>
      </c>
      <c r="H36" s="288">
        <f>SUMIF(Cartographie_des_appareils[Contrôle NIST],B36,Cartographie_des_appareils[Émissions totales (kgC02e)])</f>
        <v>0</v>
      </c>
      <c r="I36" s="289" t="str" cm="1">
        <f t="array" ref="I36">IFERROR(_xlfn.CONCAT(_xlfn._xlws.FILTER(Cartographie_des_appareils[Champ d''application],Cartographie_des_appareils[Contrôle NIST]=B36)&amp;CHAR(10)),"")</f>
        <v/>
      </c>
      <c r="J36" s="288">
        <f>SUMIF(Cartographie_des_serveurs_de_sauvegarde[Contrôle NIST],B36,Cartographie_des_serveurs_de_sauvegarde[Émissions totales (kgC02e)])</f>
        <v>0</v>
      </c>
      <c r="K36" s="289" t="str" cm="1">
        <f t="array" ref="K36">_xlfn.CONCAT(
IFERROR(_xlfn.CONCAT(_xlfn._xlws.FILTER(Cartographie_non_cyber_serveurs[Champ d''application],Cartographie_non_cyber_serveurs[Contrôle NIST]=B36)&amp;CHAR(10)),""),
IFERROR(_xlfn.CONCAT(_xlfn._xlws.FILTER(Cartographie_des_serveurs_de_sauvegarde[Champ d''application],Cartographie_des_serveurs_de_sauvegarde[Contrôle NIST]=B36)&amp;CHAR(10)),""),
)</f>
        <v/>
      </c>
      <c r="L36" s="288">
        <f>SUMIF(Cartographie_Solutions_Sur_Site[Contrôle NIST],B36,Cartographie_Solutions_Sur_Site[Émissions totales de carbone du NIST (kgCO2e)])
+SUMIF(Cartographie_Solutions_sur_Cloud[Contrôle NIST],B36,Cartographie_Solutions_sur_Cloud[Émissions totales de carbone du NIST (kgCO2e)])</f>
        <v>0</v>
      </c>
      <c r="M36" s="289" t="str" cm="1">
        <f t="array" ref="M36">_xlfn.CONCAT(
IFERROR(_xlfn.CONCAT(_xlfn._xlws.FILTER(Cartographie_Solutions_Sur_Site[Nom de l''application],#REF!=B36)&amp;CHAR(10)),""),
IFERROR(_xlfn.CONCAT(_xlfn._xlws.FILTER(Cartographie_Solutions_sur_Cloud[Nom de l''application],#REF!=B36)&amp;CHAR(10)),"")
)</f>
        <v/>
      </c>
      <c r="N36" s="288">
        <f>SUMIF(Cartographie_des_TM_externes[Contrôle NIST],B36,Cartographie_des_TM_externes[Émissions de carbone du NIST (kgCO2e)])
+SUMIF(Cartographie_des_externes_prix_fixes[Contrôle NIST],B36,Cartographie_des_externes_prix_fixes[Émissions de carbone du NIST (kgCO2e)])</f>
        <v>0</v>
      </c>
      <c r="O36" s="289" t="str" cm="1">
        <f t="array" ref="O36">_xlfn.CONCAT(
IFERROR(_xlfn.CONCAT(_xlfn._xlws.FILTER(Cartographie_des_TM_externes[Nom du service],#REF!=B36)&amp;CHAR(10)),""),
IFERROR(_xlfn.CONCAT(_xlfn._xlws.FILTER(Cartographie_des_externes_prix_fixes[Nom du service],#REF!=B36)&amp;CHAR(10)),""))</f>
        <v/>
      </c>
      <c r="P36" s="288">
        <f>SUMIF(Cartographie_voyage[Contrôle NIST],B36,Cartographie_voyage[Émissions totales (kgC02e)])</f>
        <v>0</v>
      </c>
      <c r="Q36" s="290" t="str" cm="1">
        <f t="array" ref="Q36">IFERROR(_xlfn.CONCAT(_xlfn._xlws.FILTER(Cartographie_voyage[Type de transport],Cartographie_voyage[Contrôle NIST]=B36)&amp;CHAR(10)),"")</f>
        <v/>
      </c>
      <c r="R36" s="288">
        <f>SUMIF(Cartographie_poste_de_travail_non_cyber_ordinateur_portable[Contrôle NIST],B36,Cartographie_poste_de_travail_non_cyber_ordinateur_portable[Émissions totales (kgC02e)])
+SUMIF(Cartographie_poste_de_travail_non_cyber_ordinateur_de_bureau[Contrôle NIST],B36,Cartographie_poste_de_travail_non_cyber_ordinateur_de_bureau[Émissions totales (kgC02e)])
+SUMIF(Cartographie_non_cyber_VDI[Contrôle NIST],B36,Cartographie_non_cyber_VDI[Émissions totales (kgC02e)])
+SUMIF(Cartographie_non_cyber_serveurs[Contrôle NIST],B36,Cartographie_non_cyber_serveurs[Émissions totales (kgC02e)])</f>
        <v>0</v>
      </c>
      <c r="S36" s="289" t="str" cm="1">
        <f t="array" ref="S36">_xlfn.CONCAT(
IFERROR(_xlfn.CONCAT(_xlfn._xlws.FILTER(Cartographie_poste_de_travail_non_cyber_ordinateur_portable[Champ d''application],Cartographie_poste_de_travail_non_cyber_ordinateur_portable[Contrôle NIST]=B36)&amp;CHAR(10)),""),
IFERROR(_xlfn.CONCAT(_xlfn._xlws.FILTER(Cartographie_poste_de_travail_non_cyber_ordinateur_de_bureau[Champ d''application],Cartographie_poste_de_travail_non_cyber_ordinateur_de_bureau[Contrôle NIST]=B36)&amp;CHAR(10)),""),
IFERROR(_xlfn.CONCAT(_xlfn._xlws.FILTER(Cartographie_non_cyber_VDI[Champ d''application],Cartographie_non_cyber_VDI[Contrôle NIST]=B36)&amp;CHAR(10)),""),
IFERROR(_xlfn.CONCAT(_xlfn._xlws.FILTER(Cartographie_non_cyber_serveurs[Champ d''application],Cartographie_non_cyber_serveurs[Contrôle NIST]=B36)&amp;CHAR(10)),"")
)</f>
        <v/>
      </c>
    </row>
    <row r="37" spans="1:19" ht="73.5" customHeight="1" x14ac:dyDescent="0.3">
      <c r="A37" s="284" t="s">
        <v>3</v>
      </c>
      <c r="B37" s="285" t="s">
        <v>30</v>
      </c>
      <c r="C37" s="284" t="s">
        <v>477</v>
      </c>
      <c r="D3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7" s="287">
        <f>Tableau_de_bord_par_contrôle[[#This Row],[Émissions annuelles totales de CO2e(kgCO2e)]]/(1000*Total)</f>
        <v>0</v>
      </c>
      <c r="F37" s="288">
        <f xml:space="preserve">
SUMIF(Cartographie_des_appareils_poste_de_travail_ordinateur_portable[Contrôle NIST],B37,Cartographie_des_appareils_poste_de_travail_ordinateur_portable[Émissions totales (kgC02e)])
+SUMIF(Cartographie_des_appareils_poste_de_travail_ordinateur_de_bureau[Contrôle NIST],B37,Cartographie_des_appareils_poste_de_travail_ordinateur_de_bureau[Émissions totales (kgC02e)])
+SUMIF(Cartographie_des_appareils_écrans[Contrôle NIST],B37,Cartographie_des_appareils_écrans[Émissions totales (kgC02e)])+SUMIF(Cartographie_des_appareils_Smartphones[Contrôle NIST],B37,Cartographie_des_appareils_Smartphones[Émissions totales (kgC02e)])</f>
        <v>0</v>
      </c>
      <c r="G37" s="289" t="str" cm="1">
        <f t="array" ref="G37">_xlfn.CONCAT(
IFERROR(_xlfn.CONCAT(_xlfn._xlws.FILTER(Cartographie_des_appareils_poste_de_travail_ordinateur_portable[Champ d''application],Cartographie_des_appareils_poste_de_travail_ordinateur_portable[Contrôle NIST]=B37)&amp;CHAR(10)),""),
IFERROR(_xlfn.CONCAT(_xlfn._xlws.FILTER(#REF!,#REF!=B37)&amp;CHAR(10)),""),
IFERROR(_xlfn.CONCAT(_xlfn._xlws.FILTER(Cartographie_des_appareils_écrans[Champ d''application],Cartographie_des_appareils_écrans[Contrôle NIST]=B37)&amp;CHAR(10)),""),
IFERROR(_xlfn.CONCAT(_xlfn._xlws.FILTER(Cartographie_des_appareils_Smartphones[Champ d''application],Cartographie_des_appareils_Smartphones[Contrôle NIST]=B37)&amp;CHAR(10)),"")
)</f>
        <v/>
      </c>
      <c r="H37" s="288">
        <f>SUMIF(Cartographie_des_appareils[Contrôle NIST],B37,Cartographie_des_appareils[Émissions totales (kgC02e)])</f>
        <v>0</v>
      </c>
      <c r="I37" s="289" t="str" cm="1">
        <f t="array" ref="I37">IFERROR(_xlfn.CONCAT(_xlfn._xlws.FILTER(Cartographie_des_appareils[Champ d''application],Cartographie_des_appareils[Contrôle NIST]=B37)&amp;CHAR(10)),"")</f>
        <v/>
      </c>
      <c r="J37" s="288">
        <f>SUMIF(Cartographie_des_serveurs_de_sauvegarde[Contrôle NIST],B37,Cartographie_des_serveurs_de_sauvegarde[Émissions totales (kgC02e)])</f>
        <v>0</v>
      </c>
      <c r="K37" s="289" t="str" cm="1">
        <f t="array" ref="K37">_xlfn.CONCAT(
IFERROR(_xlfn.CONCAT(_xlfn._xlws.FILTER(Cartographie_non_cyber_serveurs[Champ d''application],Cartographie_non_cyber_serveurs[Contrôle NIST]=B37)&amp;CHAR(10)),""),
IFERROR(_xlfn.CONCAT(_xlfn._xlws.FILTER(Cartographie_des_serveurs_de_sauvegarde[Champ d''application],Cartographie_des_serveurs_de_sauvegarde[Contrôle NIST]=B37)&amp;CHAR(10)),""),
)</f>
        <v/>
      </c>
      <c r="L37" s="288">
        <f>SUMIF(Cartographie_Solutions_Sur_Site[Contrôle NIST],B37,Cartographie_Solutions_Sur_Site[Émissions totales de carbone du NIST (kgCO2e)])
+SUMIF(Cartographie_Solutions_sur_Cloud[Contrôle NIST],B37,Cartographie_Solutions_sur_Cloud[Émissions totales de carbone du NIST (kgCO2e)])</f>
        <v>0</v>
      </c>
      <c r="M37" s="289" t="str" cm="1">
        <f t="array" ref="M37">_xlfn.CONCAT(
IFERROR(_xlfn.CONCAT(_xlfn._xlws.FILTER(Cartographie_Solutions_Sur_Site[Nom de l''application],#REF!=B37)&amp;CHAR(10)),""),
IFERROR(_xlfn.CONCAT(_xlfn._xlws.FILTER(Cartographie_Solutions_sur_Cloud[Nom de l''application],#REF!=B37)&amp;CHAR(10)),"")
)</f>
        <v/>
      </c>
      <c r="N37" s="288">
        <f>SUMIF(Cartographie_des_TM_externes[Contrôle NIST],B37,Cartographie_des_TM_externes[Émissions de carbone du NIST (kgCO2e)])
+SUMIF(Cartographie_des_externes_prix_fixes[Contrôle NIST],B37,Cartographie_des_externes_prix_fixes[Émissions de carbone du NIST (kgCO2e)])</f>
        <v>0</v>
      </c>
      <c r="O37" s="289" t="str" cm="1">
        <f t="array" ref="O37">_xlfn.CONCAT(
IFERROR(_xlfn.CONCAT(_xlfn._xlws.FILTER(Cartographie_des_TM_externes[Nom du service],#REF!=B37)&amp;CHAR(10)),""),
IFERROR(_xlfn.CONCAT(_xlfn._xlws.FILTER(Cartographie_des_externes_prix_fixes[Nom du service],#REF!=B37)&amp;CHAR(10)),""))</f>
        <v/>
      </c>
      <c r="P37" s="288">
        <f>SUMIF(Cartographie_voyage[Contrôle NIST],B37,Cartographie_voyage[Émissions totales (kgC02e)])</f>
        <v>0</v>
      </c>
      <c r="Q37" s="290" t="str" cm="1">
        <f t="array" ref="Q37">IFERROR(_xlfn.CONCAT(_xlfn._xlws.FILTER(Cartographie_voyage[Type de transport],Cartographie_voyage[Contrôle NIST]=B37)&amp;CHAR(10)),"")</f>
        <v/>
      </c>
      <c r="R37" s="288">
        <f>SUMIF(Cartographie_poste_de_travail_non_cyber_ordinateur_portable[Contrôle NIST],B37,Cartographie_poste_de_travail_non_cyber_ordinateur_portable[Émissions totales (kgC02e)])
+SUMIF(Cartographie_poste_de_travail_non_cyber_ordinateur_de_bureau[Contrôle NIST],B37,Cartographie_poste_de_travail_non_cyber_ordinateur_de_bureau[Émissions totales (kgC02e)])
+SUMIF(Cartographie_non_cyber_VDI[Contrôle NIST],B37,Cartographie_non_cyber_VDI[Émissions totales (kgC02e)])
+SUMIF(Cartographie_non_cyber_serveurs[Contrôle NIST],B37,Cartographie_non_cyber_serveurs[Émissions totales (kgC02e)])</f>
        <v>0</v>
      </c>
      <c r="S37" s="289" t="str" cm="1">
        <f t="array" ref="S37">_xlfn.CONCAT(
IFERROR(_xlfn.CONCAT(_xlfn._xlws.FILTER(Cartographie_poste_de_travail_non_cyber_ordinateur_portable[Champ d''application],Cartographie_poste_de_travail_non_cyber_ordinateur_portable[Contrôle NIST]=B37)&amp;CHAR(10)),""),
IFERROR(_xlfn.CONCAT(_xlfn._xlws.FILTER(Cartographie_poste_de_travail_non_cyber_ordinateur_de_bureau[Champ d''application],Cartographie_poste_de_travail_non_cyber_ordinateur_de_bureau[Contrôle NIST]=B37)&amp;CHAR(10)),""),
IFERROR(_xlfn.CONCAT(_xlfn._xlws.FILTER(Cartographie_non_cyber_VDI[Champ d''application],Cartographie_non_cyber_VDI[Contrôle NIST]=B37)&amp;CHAR(10)),""),
IFERROR(_xlfn.CONCAT(_xlfn._xlws.FILTER(Cartographie_non_cyber_serveurs[Champ d''application],Cartographie_non_cyber_serveurs[Contrôle NIST]=B37)&amp;CHAR(10)),"")
)</f>
        <v/>
      </c>
    </row>
    <row r="38" spans="1:19" ht="73.5" customHeight="1" x14ac:dyDescent="0.3">
      <c r="A38" s="284" t="s">
        <v>4</v>
      </c>
      <c r="B38" s="285" t="s">
        <v>31</v>
      </c>
      <c r="C38" s="284" t="s">
        <v>738</v>
      </c>
      <c r="D3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8" s="287">
        <f>Tableau_de_bord_par_contrôle[[#This Row],[Émissions annuelles totales de CO2e(kgCO2e)]]/(1000*Total)</f>
        <v>0</v>
      </c>
      <c r="F38" s="288">
        <f xml:space="preserve">
SUMIF(Cartographie_des_appareils_poste_de_travail_ordinateur_portable[Contrôle NIST],B38,Cartographie_des_appareils_poste_de_travail_ordinateur_portable[Émissions totales (kgC02e)])
+SUMIF(Cartographie_des_appareils_poste_de_travail_ordinateur_de_bureau[Contrôle NIST],B38,Cartographie_des_appareils_poste_de_travail_ordinateur_de_bureau[Émissions totales (kgC02e)])
+SUMIF(Cartographie_des_appareils_écrans[Contrôle NIST],B38,Cartographie_des_appareils_écrans[Émissions totales (kgC02e)])+SUMIF(Cartographie_des_appareils_Smartphones[Contrôle NIST],B38,Cartographie_des_appareils_Smartphones[Émissions totales (kgC02e)])</f>
        <v>0</v>
      </c>
      <c r="G38" s="289" t="str" cm="1">
        <f t="array" ref="G38">_xlfn.CONCAT(
IFERROR(_xlfn.CONCAT(_xlfn._xlws.FILTER(Cartographie_des_appareils_poste_de_travail_ordinateur_portable[Champ d''application],Cartographie_des_appareils_poste_de_travail_ordinateur_portable[Contrôle NIST]=B38)&amp;CHAR(10)),""),
IFERROR(_xlfn.CONCAT(_xlfn._xlws.FILTER(#REF!,#REF!=B38)&amp;CHAR(10)),""),
IFERROR(_xlfn.CONCAT(_xlfn._xlws.FILTER(Cartographie_des_appareils_écrans[Champ d''application],Cartographie_des_appareils_écrans[Contrôle NIST]=B38)&amp;CHAR(10)),""),
IFERROR(_xlfn.CONCAT(_xlfn._xlws.FILTER(Cartographie_des_appareils_Smartphones[Champ d''application],Cartographie_des_appareils_Smartphones[Contrôle NIST]=B38)&amp;CHAR(10)),"")
)</f>
        <v/>
      </c>
      <c r="H38" s="288">
        <f>SUMIF(Cartographie_des_appareils[Contrôle NIST],B38,Cartographie_des_appareils[Émissions totales (kgC02e)])</f>
        <v>0</v>
      </c>
      <c r="I38" s="289" t="str" cm="1">
        <f t="array" ref="I38">IFERROR(_xlfn.CONCAT(_xlfn._xlws.FILTER(Cartographie_des_appareils[Champ d''application],Cartographie_des_appareils[Contrôle NIST]=B38)&amp;CHAR(10)),"")</f>
        <v/>
      </c>
      <c r="J38" s="288">
        <f>SUMIF(Cartographie_des_serveurs_de_sauvegarde[Contrôle NIST],B38,Cartographie_des_serveurs_de_sauvegarde[Émissions totales (kgC02e)])</f>
        <v>0</v>
      </c>
      <c r="K38" s="289" t="str" cm="1">
        <f t="array" ref="K38">_xlfn.CONCAT(
IFERROR(_xlfn.CONCAT(_xlfn._xlws.FILTER(Cartographie_non_cyber_serveurs[Champ d''application],Cartographie_non_cyber_serveurs[Contrôle NIST]=B38)&amp;CHAR(10)),""),
IFERROR(_xlfn.CONCAT(_xlfn._xlws.FILTER(Cartographie_des_serveurs_de_sauvegarde[Champ d''application],Cartographie_des_serveurs_de_sauvegarde[Contrôle NIST]=B38)&amp;CHAR(10)),""),
)</f>
        <v/>
      </c>
      <c r="L38" s="288">
        <f>SUMIF(Cartographie_Solutions_Sur_Site[Contrôle NIST],B38,Cartographie_Solutions_Sur_Site[Émissions totales de carbone du NIST (kgCO2e)])
+SUMIF(Cartographie_Solutions_sur_Cloud[Contrôle NIST],B38,Cartographie_Solutions_sur_Cloud[Émissions totales de carbone du NIST (kgCO2e)])</f>
        <v>0</v>
      </c>
      <c r="M38" s="289" t="str" cm="1">
        <f t="array" ref="M38">_xlfn.CONCAT(
IFERROR(_xlfn.CONCAT(_xlfn._xlws.FILTER(Cartographie_Solutions_Sur_Site[Nom de l''application],#REF!=B38)&amp;CHAR(10)),""),
IFERROR(_xlfn.CONCAT(_xlfn._xlws.FILTER(Cartographie_Solutions_sur_Cloud[Nom de l''application],#REF!=B38)&amp;CHAR(10)),"")
)</f>
        <v/>
      </c>
      <c r="N38" s="288">
        <f>SUMIF(Cartographie_des_TM_externes[Contrôle NIST],B38,Cartographie_des_TM_externes[Émissions de carbone du NIST (kgCO2e)])
+SUMIF(Cartographie_des_externes_prix_fixes[Contrôle NIST],B38,Cartographie_des_externes_prix_fixes[Émissions de carbone du NIST (kgCO2e)])</f>
        <v>0</v>
      </c>
      <c r="O38" s="289" t="str" cm="1">
        <f t="array" ref="O38">_xlfn.CONCAT(
IFERROR(_xlfn.CONCAT(_xlfn._xlws.FILTER(Cartographie_des_TM_externes[Nom du service],#REF!=B38)&amp;CHAR(10)),""),
IFERROR(_xlfn.CONCAT(_xlfn._xlws.FILTER(Cartographie_des_externes_prix_fixes[Nom du service],#REF!=B38)&amp;CHAR(10)),""))</f>
        <v/>
      </c>
      <c r="P38" s="288">
        <f>SUMIF(Cartographie_voyage[Contrôle NIST],B38,Cartographie_voyage[Émissions totales (kgC02e)])</f>
        <v>0</v>
      </c>
      <c r="Q38" s="290" t="str" cm="1">
        <f t="array" ref="Q38">IFERROR(_xlfn.CONCAT(_xlfn._xlws.FILTER(Cartographie_voyage[Type de transport],Cartographie_voyage[Contrôle NIST]=B38)&amp;CHAR(10)),"")</f>
        <v/>
      </c>
      <c r="R38" s="288">
        <f>SUMIF(Cartographie_poste_de_travail_non_cyber_ordinateur_portable[Contrôle NIST],B38,Cartographie_poste_de_travail_non_cyber_ordinateur_portable[Émissions totales (kgC02e)])
+SUMIF(Cartographie_poste_de_travail_non_cyber_ordinateur_de_bureau[Contrôle NIST],B38,Cartographie_poste_de_travail_non_cyber_ordinateur_de_bureau[Émissions totales (kgC02e)])
+SUMIF(Cartographie_non_cyber_VDI[Contrôle NIST],B38,Cartographie_non_cyber_VDI[Émissions totales (kgC02e)])
+SUMIF(Cartographie_non_cyber_serveurs[Contrôle NIST],B38,Cartographie_non_cyber_serveurs[Émissions totales (kgC02e)])</f>
        <v>0</v>
      </c>
      <c r="S38" s="289" t="str" cm="1">
        <f t="array" ref="S38">_xlfn.CONCAT(
IFERROR(_xlfn.CONCAT(_xlfn._xlws.FILTER(Cartographie_poste_de_travail_non_cyber_ordinateur_portable[Champ d''application],Cartographie_poste_de_travail_non_cyber_ordinateur_portable[Contrôle NIST]=B38)&amp;CHAR(10)),""),
IFERROR(_xlfn.CONCAT(_xlfn._xlws.FILTER(Cartographie_poste_de_travail_non_cyber_ordinateur_de_bureau[Champ d''application],Cartographie_poste_de_travail_non_cyber_ordinateur_de_bureau[Contrôle NIST]=B38)&amp;CHAR(10)),""),
IFERROR(_xlfn.CONCAT(_xlfn._xlws.FILTER(Cartographie_non_cyber_VDI[Champ d''application],Cartographie_non_cyber_VDI[Contrôle NIST]=B38)&amp;CHAR(10)),""),
IFERROR(_xlfn.CONCAT(_xlfn._xlws.FILTER(Cartographie_non_cyber_serveurs[Champ d''application],Cartographie_non_cyber_serveurs[Contrôle NIST]=B38)&amp;CHAR(10)),"")
)</f>
        <v/>
      </c>
    </row>
    <row r="39" spans="1:19" ht="73.5" customHeight="1" x14ac:dyDescent="0.3">
      <c r="A39" s="284" t="s">
        <v>4</v>
      </c>
      <c r="B39" s="285" t="s">
        <v>32</v>
      </c>
      <c r="C39" s="284" t="s">
        <v>739</v>
      </c>
      <c r="D3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39" s="287">
        <f>Tableau_de_bord_par_contrôle[[#This Row],[Émissions annuelles totales de CO2e(kgCO2e)]]/(1000*Total)</f>
        <v>0</v>
      </c>
      <c r="F39" s="288">
        <f xml:space="preserve">
SUMIF(Cartographie_des_appareils_poste_de_travail_ordinateur_portable[Contrôle NIST],B39,Cartographie_des_appareils_poste_de_travail_ordinateur_portable[Émissions totales (kgC02e)])
+SUMIF(Cartographie_des_appareils_poste_de_travail_ordinateur_de_bureau[Contrôle NIST],B39,Cartographie_des_appareils_poste_de_travail_ordinateur_de_bureau[Émissions totales (kgC02e)])
+SUMIF(Cartographie_des_appareils_écrans[Contrôle NIST],B39,Cartographie_des_appareils_écrans[Émissions totales (kgC02e)])+SUMIF(Cartographie_des_appareils_Smartphones[Contrôle NIST],B39,Cartographie_des_appareils_Smartphones[Émissions totales (kgC02e)])</f>
        <v>0</v>
      </c>
      <c r="G39" s="289" t="str" cm="1">
        <f t="array" ref="G39">_xlfn.CONCAT(
IFERROR(_xlfn.CONCAT(_xlfn._xlws.FILTER(Cartographie_des_appareils_poste_de_travail_ordinateur_portable[Champ d''application],Cartographie_des_appareils_poste_de_travail_ordinateur_portable[Contrôle NIST]=B39)&amp;CHAR(10)),""),
IFERROR(_xlfn.CONCAT(_xlfn._xlws.FILTER(#REF!,#REF!=B39)&amp;CHAR(10)),""),
IFERROR(_xlfn.CONCAT(_xlfn._xlws.FILTER(Cartographie_des_appareils_écrans[Champ d''application],Cartographie_des_appareils_écrans[Contrôle NIST]=B39)&amp;CHAR(10)),""),
IFERROR(_xlfn.CONCAT(_xlfn._xlws.FILTER(Cartographie_des_appareils_Smartphones[Champ d''application],Cartographie_des_appareils_Smartphones[Contrôle NIST]=B39)&amp;CHAR(10)),"")
)</f>
        <v/>
      </c>
      <c r="H39" s="288">
        <f>SUMIF(Cartographie_des_appareils[Contrôle NIST],B39,Cartographie_des_appareils[Émissions totales (kgC02e)])</f>
        <v>0</v>
      </c>
      <c r="I39" s="289" t="str" cm="1">
        <f t="array" ref="I39">IFERROR(_xlfn.CONCAT(_xlfn._xlws.FILTER(Cartographie_des_appareils[Champ d''application],Cartographie_des_appareils[Contrôle NIST]=B39)&amp;CHAR(10)),"")</f>
        <v/>
      </c>
      <c r="J39" s="288">
        <f>SUMIF(Cartographie_des_serveurs_de_sauvegarde[Contrôle NIST],B39,Cartographie_des_serveurs_de_sauvegarde[Émissions totales (kgC02e)])</f>
        <v>0</v>
      </c>
      <c r="K39" s="289" t="str" cm="1">
        <f t="array" ref="K39">_xlfn.CONCAT(
IFERROR(_xlfn.CONCAT(_xlfn._xlws.FILTER(Cartographie_non_cyber_serveurs[Champ d''application],Cartographie_non_cyber_serveurs[Contrôle NIST]=B39)&amp;CHAR(10)),""),
IFERROR(_xlfn.CONCAT(_xlfn._xlws.FILTER(Cartographie_des_serveurs_de_sauvegarde[Champ d''application],Cartographie_des_serveurs_de_sauvegarde[Contrôle NIST]=B39)&amp;CHAR(10)),""),
)</f>
        <v/>
      </c>
      <c r="L39" s="288">
        <f>SUMIF(Cartographie_Solutions_Sur_Site[Contrôle NIST],B39,Cartographie_Solutions_Sur_Site[Émissions totales de carbone du NIST (kgCO2e)])
+SUMIF(Cartographie_Solutions_sur_Cloud[Contrôle NIST],B39,Cartographie_Solutions_sur_Cloud[Émissions totales de carbone du NIST (kgCO2e)])</f>
        <v>0</v>
      </c>
      <c r="M39" s="289" t="str" cm="1">
        <f t="array" ref="M39">_xlfn.CONCAT(
IFERROR(_xlfn.CONCAT(_xlfn._xlws.FILTER(Cartographie_Solutions_Sur_Site[Nom de l''application],#REF!=B39)&amp;CHAR(10)),""),
IFERROR(_xlfn.CONCAT(_xlfn._xlws.FILTER(Cartographie_Solutions_sur_Cloud[Nom de l''application],#REF!=B39)&amp;CHAR(10)),"")
)</f>
        <v/>
      </c>
      <c r="N39" s="288">
        <f>SUMIF(Cartographie_des_TM_externes[Contrôle NIST],B39,Cartographie_des_TM_externes[Émissions de carbone du NIST (kgCO2e)])
+SUMIF(Cartographie_des_externes_prix_fixes[Contrôle NIST],B39,Cartographie_des_externes_prix_fixes[Émissions de carbone du NIST (kgCO2e)])</f>
        <v>0</v>
      </c>
      <c r="O39" s="289" t="str" cm="1">
        <f t="array" ref="O39">_xlfn.CONCAT(
IFERROR(_xlfn.CONCAT(_xlfn._xlws.FILTER(Cartographie_des_TM_externes[Nom du service],#REF!=B39)&amp;CHAR(10)),""),
IFERROR(_xlfn.CONCAT(_xlfn._xlws.FILTER(Cartographie_des_externes_prix_fixes[Nom du service],#REF!=B39)&amp;CHAR(10)),""))</f>
        <v/>
      </c>
      <c r="P39" s="288">
        <f>SUMIF(Cartographie_voyage[Contrôle NIST],B39,Cartographie_voyage[Émissions totales (kgC02e)])</f>
        <v>0</v>
      </c>
      <c r="Q39" s="290" t="str" cm="1">
        <f t="array" ref="Q39">IFERROR(_xlfn.CONCAT(_xlfn._xlws.FILTER(Cartographie_voyage[Type de transport],Cartographie_voyage[Contrôle NIST]=B39)&amp;CHAR(10)),"")</f>
        <v/>
      </c>
      <c r="R39" s="288">
        <f>SUMIF(Cartographie_poste_de_travail_non_cyber_ordinateur_portable[Contrôle NIST],B39,Cartographie_poste_de_travail_non_cyber_ordinateur_portable[Émissions totales (kgC02e)])
+SUMIF(Cartographie_poste_de_travail_non_cyber_ordinateur_de_bureau[Contrôle NIST],B39,Cartographie_poste_de_travail_non_cyber_ordinateur_de_bureau[Émissions totales (kgC02e)])
+SUMIF(Cartographie_non_cyber_VDI[Contrôle NIST],B39,Cartographie_non_cyber_VDI[Émissions totales (kgC02e)])
+SUMIF(Cartographie_non_cyber_serveurs[Contrôle NIST],B39,Cartographie_non_cyber_serveurs[Émissions totales (kgC02e)])</f>
        <v>0</v>
      </c>
      <c r="S39" s="289" t="str" cm="1">
        <f t="array" ref="S39">_xlfn.CONCAT(
IFERROR(_xlfn.CONCAT(_xlfn._xlws.FILTER(Cartographie_poste_de_travail_non_cyber_ordinateur_portable[Champ d''application],Cartographie_poste_de_travail_non_cyber_ordinateur_portable[Contrôle NIST]=B39)&amp;CHAR(10)),""),
IFERROR(_xlfn.CONCAT(_xlfn._xlws.FILTER(Cartographie_poste_de_travail_non_cyber_ordinateur_de_bureau[Champ d''application],Cartographie_poste_de_travail_non_cyber_ordinateur_de_bureau[Contrôle NIST]=B39)&amp;CHAR(10)),""),
IFERROR(_xlfn.CONCAT(_xlfn._xlws.FILTER(Cartographie_non_cyber_VDI[Champ d''application],Cartographie_non_cyber_VDI[Contrôle NIST]=B39)&amp;CHAR(10)),""),
IFERROR(_xlfn.CONCAT(_xlfn._xlws.FILTER(Cartographie_non_cyber_serveurs[Champ d''application],Cartographie_non_cyber_serveurs[Contrôle NIST]=B39)&amp;CHAR(10)),"")
)</f>
        <v/>
      </c>
    </row>
    <row r="40" spans="1:19" ht="73.5" customHeight="1" x14ac:dyDescent="0.3">
      <c r="A40" s="284" t="s">
        <v>4</v>
      </c>
      <c r="B40" s="285" t="s">
        <v>33</v>
      </c>
      <c r="C40" s="284" t="s">
        <v>740</v>
      </c>
      <c r="D4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8116.639039083333</v>
      </c>
      <c r="E40" s="287">
        <f>Tableau_de_bord_par_contrôle[[#This Row],[Émissions annuelles totales de CO2e(kgCO2e)]]/(1000*Total)</f>
        <v>1.4442205988764536E-3</v>
      </c>
      <c r="F40" s="288">
        <f xml:space="preserve">
SUMIF(Cartographie_des_appareils_poste_de_travail_ordinateur_portable[Contrôle NIST],B40,Cartographie_des_appareils_poste_de_travail_ordinateur_portable[Émissions totales (kgC02e)])
+SUMIF(Cartographie_des_appareils_poste_de_travail_ordinateur_de_bureau[Contrôle NIST],B40,Cartographie_des_appareils_poste_de_travail_ordinateur_de_bureau[Émissions totales (kgC02e)])
+SUMIF(Cartographie_des_appareils_écrans[Contrôle NIST],B40,Cartographie_des_appareils_écrans[Émissions totales (kgC02e)])+SUMIF(Cartographie_des_appareils_Smartphones[Contrôle NIST],B40,Cartographie_des_appareils_Smartphones[Émissions totales (kgC02e)])</f>
        <v>0</v>
      </c>
      <c r="G40" s="289" t="str" cm="1">
        <f t="array" ref="G40">_xlfn.CONCAT(
IFERROR(_xlfn.CONCAT(_xlfn._xlws.FILTER(Cartographie_des_appareils_poste_de_travail_ordinateur_portable[Champ d''application],Cartographie_des_appareils_poste_de_travail_ordinateur_portable[Contrôle NIST]=B40)&amp;CHAR(10)),""),
IFERROR(_xlfn.CONCAT(_xlfn._xlws.FILTER(#REF!,#REF!=B40)&amp;CHAR(10)),""),
IFERROR(_xlfn.CONCAT(_xlfn._xlws.FILTER(Cartographie_des_appareils_écrans[Champ d''application],Cartographie_des_appareils_écrans[Contrôle NIST]=B40)&amp;CHAR(10)),""),
IFERROR(_xlfn.CONCAT(_xlfn._xlws.FILTER(Cartographie_des_appareils_Smartphones[Champ d''application],Cartographie_des_appareils_Smartphones[Contrôle NIST]=B40)&amp;CHAR(10)),"")
)</f>
        <v/>
      </c>
      <c r="H40" s="288">
        <f>SUMIF(Cartographie_des_appareils[Contrôle NIST],B40,Cartographie_des_appareils[Émissions totales (kgC02e)])</f>
        <v>0</v>
      </c>
      <c r="I40" s="289" t="str" cm="1">
        <f t="array" ref="I40">IFERROR(_xlfn.CONCAT(_xlfn._xlws.FILTER(Cartographie_des_appareils[Champ d''application],Cartographie_des_appareils[Contrôle NIST]=B40)&amp;CHAR(10)),"")</f>
        <v/>
      </c>
      <c r="J40" s="288">
        <f>SUMIF(Cartographie_des_serveurs_de_sauvegarde[Contrôle NIST],B40,Cartographie_des_serveurs_de_sauvegarde[Émissions totales (kgC02e)])</f>
        <v>0</v>
      </c>
      <c r="K40" s="289" t="str" cm="1">
        <f t="array" ref="K40">_xlfn.CONCAT(
IFERROR(_xlfn.CONCAT(_xlfn._xlws.FILTER(Cartographie_non_cyber_serveurs[Champ d''application],Cartographie_non_cyber_serveurs[Contrôle NIST]=B40)&amp;CHAR(10)),""),
IFERROR(_xlfn.CONCAT(_xlfn._xlws.FILTER(Cartographie_des_serveurs_de_sauvegarde[Champ d''application],Cartographie_des_serveurs_de_sauvegarde[Contrôle NIST]=B40)&amp;CHAR(10)),""),
)</f>
        <v xml:space="preserve">Dans les serveurs sur site, le CPU/RAM des serveurs non cyber pour la génération de logs.
</v>
      </c>
      <c r="L40" s="288">
        <f>SUMIF(Cartographie_Solutions_Sur_Site[Contrôle NIST],B40,Cartographie_Solutions_Sur_Site[Émissions totales de carbone du NIST (kgCO2e)])
+SUMIF(Cartographie_Solutions_sur_Cloud[Contrôle NIST],B40,Cartographie_Solutions_sur_Cloud[Émissions totales de carbone du NIST (kgCO2e)])</f>
        <v>0</v>
      </c>
      <c r="M40" s="289" t="str" cm="1">
        <f t="array" ref="M40">_xlfn.CONCAT(
IFERROR(_xlfn.CONCAT(_xlfn._xlws.FILTER(Cartographie_Solutions_Sur_Site[Nom de l''application],#REF!=B40)&amp;CHAR(10)),""),
IFERROR(_xlfn.CONCAT(_xlfn._xlws.FILTER(Cartographie_Solutions_sur_Cloud[Nom de l''application],#REF!=B40)&amp;CHAR(10)),"")
)</f>
        <v/>
      </c>
      <c r="N40" s="288">
        <f>SUMIF(Cartographie_des_TM_externes[Contrôle NIST],B40,Cartographie_des_TM_externes[Émissions de carbone du NIST (kgCO2e)])
+SUMIF(Cartographie_des_externes_prix_fixes[Contrôle NIST],B40,Cartographie_des_externes_prix_fixes[Émissions de carbone du NIST (kgCO2e)])</f>
        <v>0</v>
      </c>
      <c r="O40" s="289" t="str" cm="1">
        <f t="array" ref="O40">_xlfn.CONCAT(
IFERROR(_xlfn.CONCAT(_xlfn._xlws.FILTER(Cartographie_des_TM_externes[Nom du service],#REF!=B40)&amp;CHAR(10)),""),
IFERROR(_xlfn.CONCAT(_xlfn._xlws.FILTER(Cartographie_des_externes_prix_fixes[Nom du service],#REF!=B40)&amp;CHAR(10)),""))</f>
        <v/>
      </c>
      <c r="P40" s="288">
        <f>SUMIF(Cartographie_voyage[Contrôle NIST],B40,Cartographie_voyage[Émissions totales (kgC02e)])</f>
        <v>0</v>
      </c>
      <c r="Q40" s="290" t="str" cm="1">
        <f t="array" ref="Q40">IFERROR(_xlfn.CONCAT(_xlfn._xlws.FILTER(Cartographie_voyage[Type de transport],Cartographie_voyage[Contrôle NIST]=B40)&amp;CHAR(10)),"")</f>
        <v/>
      </c>
      <c r="R40" s="288">
        <f>SUMIF(Cartographie_poste_de_travail_non_cyber_ordinateur_portable[Contrôle NIST],B40,Cartographie_poste_de_travail_non_cyber_ordinateur_portable[Émissions totales (kgC02e)])
+SUMIF(Cartographie_poste_de_travail_non_cyber_ordinateur_de_bureau[Contrôle NIST],B40,Cartographie_poste_de_travail_non_cyber_ordinateur_de_bureau[Émissions totales (kgC02e)])
+SUMIF(Cartographie_non_cyber_VDI[Contrôle NIST],B40,Cartographie_non_cyber_VDI[Émissions totales (kgC02e)])
+SUMIF(Cartographie_non_cyber_serveurs[Contrôle NIST],B40,Cartographie_non_cyber_serveurs[Émissions totales (kgC02e)])</f>
        <v>8116.639039083333</v>
      </c>
      <c r="S40" s="289" t="str" cm="1">
        <f t="array" ref="S40">_xlfn.CONCAT(
IFERROR(_xlfn.CONCAT(_xlfn._xlws.FILTER(Cartographie_poste_de_travail_non_cyber_ordinateur_portable[Champ d''application],Cartographie_poste_de_travail_non_cyber_ordinateur_portable[Contrôle NIST]=B40)&amp;CHAR(10)),""),
IFERROR(_xlfn.CONCAT(_xlfn._xlws.FILTER(Cartographie_poste_de_travail_non_cyber_ordinateur_de_bureau[Champ d''application],Cartographie_poste_de_travail_non_cyber_ordinateur_de_bureau[Contrôle NIST]=B40)&amp;CHAR(10)),""),
IFERROR(_xlfn.CONCAT(_xlfn._xlws.FILTER(Cartographie_non_cyber_VDI[Champ d''application],Cartographie_non_cyber_VDI[Contrôle NIST]=B40)&amp;CHAR(10)),""),
IFERROR(_xlfn.CONCAT(_xlfn._xlws.FILTER(Cartographie_non_cyber_serveurs[Champ d''application],Cartographie_non_cyber_serveurs[Contrôle NIST]=B40)&amp;CHAR(10)),"")
)</f>
        <v xml:space="preserve">Postes de travail utilisés par les employés internes non Cyber - CPU/RAM utilisés pour la génération de logs
Postes de travail utilisés par des contractants non Cyber fournis par votre entreprise - CPU/RAM utilisés pour la génération de logs
Postes de travail utilisés par les employés internes non Cyber - CPU/RAM utilisés pour la génération de logs
Postes de travail utilisés par des contractants non Cyber fournis par votre entreprise - CPU/RAM utilisés pour la génération de logs
Dans les serveurs sur site, le CPU/RAM des serveurs non cyber pour la génération de logs.
</v>
      </c>
    </row>
    <row r="41" spans="1:19" ht="73.5" customHeight="1" x14ac:dyDescent="0.3">
      <c r="A41" s="284" t="s">
        <v>4</v>
      </c>
      <c r="B41" s="285" t="s">
        <v>34</v>
      </c>
      <c r="C41" s="284" t="s">
        <v>478</v>
      </c>
      <c r="D4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1" s="287">
        <f>Tableau_de_bord_par_contrôle[[#This Row],[Émissions annuelles totales de CO2e(kgCO2e)]]/(1000*Total)</f>
        <v>0</v>
      </c>
      <c r="F41" s="288">
        <f xml:space="preserve">
SUMIF(Cartographie_des_appareils_poste_de_travail_ordinateur_portable[Contrôle NIST],B41,Cartographie_des_appareils_poste_de_travail_ordinateur_portable[Émissions totales (kgC02e)])
+SUMIF(Cartographie_des_appareils_poste_de_travail_ordinateur_de_bureau[Contrôle NIST],B41,Cartographie_des_appareils_poste_de_travail_ordinateur_de_bureau[Émissions totales (kgC02e)])
+SUMIF(Cartographie_des_appareils_écrans[Contrôle NIST],B41,Cartographie_des_appareils_écrans[Émissions totales (kgC02e)])+SUMIF(Cartographie_des_appareils_Smartphones[Contrôle NIST],B41,Cartographie_des_appareils_Smartphones[Émissions totales (kgC02e)])</f>
        <v>0</v>
      </c>
      <c r="G41" s="289" t="str" cm="1">
        <f t="array" ref="G41">_xlfn.CONCAT(
IFERROR(_xlfn.CONCAT(_xlfn._xlws.FILTER(Cartographie_des_appareils_poste_de_travail_ordinateur_portable[Champ d''application],Cartographie_des_appareils_poste_de_travail_ordinateur_portable[Contrôle NIST]=B41)&amp;CHAR(10)),""),
IFERROR(_xlfn.CONCAT(_xlfn._xlws.FILTER(#REF!,#REF!=B41)&amp;CHAR(10)),""),
IFERROR(_xlfn.CONCAT(_xlfn._xlws.FILTER(Cartographie_des_appareils_écrans[Champ d''application],Cartographie_des_appareils_écrans[Contrôle NIST]=B41)&amp;CHAR(10)),""),
IFERROR(_xlfn.CONCAT(_xlfn._xlws.FILTER(Cartographie_des_appareils_Smartphones[Champ d''application],Cartographie_des_appareils_Smartphones[Contrôle NIST]=B41)&amp;CHAR(10)),"")
)</f>
        <v/>
      </c>
      <c r="H41" s="288">
        <f>SUMIF(Cartographie_des_appareils[Contrôle NIST],B41,Cartographie_des_appareils[Émissions totales (kgC02e)])</f>
        <v>0</v>
      </c>
      <c r="I41" s="289" t="str" cm="1">
        <f t="array" ref="I41">IFERROR(_xlfn.CONCAT(_xlfn._xlws.FILTER(Cartographie_des_appareils[Champ d''application],Cartographie_des_appareils[Contrôle NIST]=B41)&amp;CHAR(10)),"")</f>
        <v/>
      </c>
      <c r="J41" s="288">
        <f>SUMIF(Cartographie_des_serveurs_de_sauvegarde[Contrôle NIST],B41,Cartographie_des_serveurs_de_sauvegarde[Émissions totales (kgC02e)])</f>
        <v>0</v>
      </c>
      <c r="K41" s="289" t="str" cm="1">
        <f t="array" ref="K41">_xlfn.CONCAT(
IFERROR(_xlfn.CONCAT(_xlfn._xlws.FILTER(Cartographie_non_cyber_serveurs[Champ d''application],Cartographie_non_cyber_serveurs[Contrôle NIST]=B41)&amp;CHAR(10)),""),
IFERROR(_xlfn.CONCAT(_xlfn._xlws.FILTER(Cartographie_des_serveurs_de_sauvegarde[Champ d''application],Cartographie_des_serveurs_de_sauvegarde[Contrôle NIST]=B41)&amp;CHAR(10)),""),
)</f>
        <v/>
      </c>
      <c r="L41" s="288">
        <f>SUMIF(Cartographie_Solutions_Sur_Site[Contrôle NIST],B41,Cartographie_Solutions_Sur_Site[Émissions totales de carbone du NIST (kgCO2e)])
+SUMIF(Cartographie_Solutions_sur_Cloud[Contrôle NIST],B41,Cartographie_Solutions_sur_Cloud[Émissions totales de carbone du NIST (kgCO2e)])</f>
        <v>0</v>
      </c>
      <c r="M41" s="289" t="str" cm="1">
        <f t="array" ref="M41">_xlfn.CONCAT(
IFERROR(_xlfn.CONCAT(_xlfn._xlws.FILTER(Cartographie_Solutions_Sur_Site[Nom de l''application],#REF!=B41)&amp;CHAR(10)),""),
IFERROR(_xlfn.CONCAT(_xlfn._xlws.FILTER(Cartographie_Solutions_sur_Cloud[Nom de l''application],#REF!=B41)&amp;CHAR(10)),"")
)</f>
        <v/>
      </c>
      <c r="N41" s="288">
        <f>SUMIF(Cartographie_des_TM_externes[Contrôle NIST],B41,Cartographie_des_TM_externes[Émissions de carbone du NIST (kgCO2e)])
+SUMIF(Cartographie_des_externes_prix_fixes[Contrôle NIST],B41,Cartographie_des_externes_prix_fixes[Émissions de carbone du NIST (kgCO2e)])</f>
        <v>0</v>
      </c>
      <c r="O41" s="289" t="str" cm="1">
        <f t="array" ref="O41">_xlfn.CONCAT(
IFERROR(_xlfn.CONCAT(_xlfn._xlws.FILTER(Cartographie_des_TM_externes[Nom du service],#REF!=B41)&amp;CHAR(10)),""),
IFERROR(_xlfn.CONCAT(_xlfn._xlws.FILTER(Cartographie_des_externes_prix_fixes[Nom du service],#REF!=B41)&amp;CHAR(10)),""))</f>
        <v/>
      </c>
      <c r="P41" s="288">
        <f>SUMIF(Cartographie_voyage[Contrôle NIST],B41,Cartographie_voyage[Émissions totales (kgC02e)])</f>
        <v>0</v>
      </c>
      <c r="Q41" s="290" t="str" cm="1">
        <f t="array" ref="Q41">IFERROR(_xlfn.CONCAT(_xlfn._xlws.FILTER(Cartographie_voyage[Type de transport],Cartographie_voyage[Contrôle NIST]=B41)&amp;CHAR(10)),"")</f>
        <v/>
      </c>
      <c r="R41" s="288">
        <f>SUMIF(Cartographie_poste_de_travail_non_cyber_ordinateur_portable[Contrôle NIST],B41,Cartographie_poste_de_travail_non_cyber_ordinateur_portable[Émissions totales (kgC02e)])
+SUMIF(Cartographie_poste_de_travail_non_cyber_ordinateur_de_bureau[Contrôle NIST],B41,Cartographie_poste_de_travail_non_cyber_ordinateur_de_bureau[Émissions totales (kgC02e)])
+SUMIF(Cartographie_non_cyber_VDI[Contrôle NIST],B41,Cartographie_non_cyber_VDI[Émissions totales (kgC02e)])
+SUMIF(Cartographie_non_cyber_serveurs[Contrôle NIST],B41,Cartographie_non_cyber_serveurs[Émissions totales (kgC02e)])</f>
        <v>0</v>
      </c>
      <c r="S41" s="289" t="str" cm="1">
        <f t="array" ref="S41">_xlfn.CONCAT(
IFERROR(_xlfn.CONCAT(_xlfn._xlws.FILTER(Cartographie_poste_de_travail_non_cyber_ordinateur_portable[Champ d''application],Cartographie_poste_de_travail_non_cyber_ordinateur_portable[Contrôle NIST]=B41)&amp;CHAR(10)),""),
IFERROR(_xlfn.CONCAT(_xlfn._xlws.FILTER(Cartographie_poste_de_travail_non_cyber_ordinateur_de_bureau[Champ d''application],Cartographie_poste_de_travail_non_cyber_ordinateur_de_bureau[Contrôle NIST]=B41)&amp;CHAR(10)),""),
IFERROR(_xlfn.CONCAT(_xlfn._xlws.FILTER(Cartographie_non_cyber_VDI[Champ d''application],Cartographie_non_cyber_VDI[Contrôle NIST]=B41)&amp;CHAR(10)),""),
IFERROR(_xlfn.CONCAT(_xlfn._xlws.FILTER(Cartographie_non_cyber_serveurs[Champ d''application],Cartographie_non_cyber_serveurs[Contrôle NIST]=B41)&amp;CHAR(10)),"")
)</f>
        <v/>
      </c>
    </row>
    <row r="42" spans="1:19" ht="73.5" customHeight="1" x14ac:dyDescent="0.3">
      <c r="A42" s="284" t="s">
        <v>4</v>
      </c>
      <c r="B42" s="285" t="s">
        <v>35</v>
      </c>
      <c r="C42" s="284" t="s">
        <v>479</v>
      </c>
      <c r="D4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2" s="287">
        <f>Tableau_de_bord_par_contrôle[[#This Row],[Émissions annuelles totales de CO2e(kgCO2e)]]/(1000*Total)</f>
        <v>0</v>
      </c>
      <c r="F42" s="288">
        <f xml:space="preserve">
SUMIF(Cartographie_des_appareils_poste_de_travail_ordinateur_portable[Contrôle NIST],B42,Cartographie_des_appareils_poste_de_travail_ordinateur_portable[Émissions totales (kgC02e)])
+SUMIF(Cartographie_des_appareils_poste_de_travail_ordinateur_de_bureau[Contrôle NIST],B42,Cartographie_des_appareils_poste_de_travail_ordinateur_de_bureau[Émissions totales (kgC02e)])
+SUMIF(Cartographie_des_appareils_écrans[Contrôle NIST],B42,Cartographie_des_appareils_écrans[Émissions totales (kgC02e)])+SUMIF(Cartographie_des_appareils_Smartphones[Contrôle NIST],B42,Cartographie_des_appareils_Smartphones[Émissions totales (kgC02e)])</f>
        <v>0</v>
      </c>
      <c r="G42" s="289" t="str" cm="1">
        <f t="array" ref="G42">_xlfn.CONCAT(
IFERROR(_xlfn.CONCAT(_xlfn._xlws.FILTER(Cartographie_des_appareils_poste_de_travail_ordinateur_portable[Champ d''application],Cartographie_des_appareils_poste_de_travail_ordinateur_portable[Contrôle NIST]=B42)&amp;CHAR(10)),""),
IFERROR(_xlfn.CONCAT(_xlfn._xlws.FILTER(#REF!,#REF!=B42)&amp;CHAR(10)),""),
IFERROR(_xlfn.CONCAT(_xlfn._xlws.FILTER(Cartographie_des_appareils_écrans[Champ d''application],Cartographie_des_appareils_écrans[Contrôle NIST]=B42)&amp;CHAR(10)),""),
IFERROR(_xlfn.CONCAT(_xlfn._xlws.FILTER(Cartographie_des_appareils_Smartphones[Champ d''application],Cartographie_des_appareils_Smartphones[Contrôle NIST]=B42)&amp;CHAR(10)),"")
)</f>
        <v/>
      </c>
      <c r="H42" s="288">
        <f>SUMIF(Cartographie_des_appareils[Contrôle NIST],B42,Cartographie_des_appareils[Émissions totales (kgC02e)])</f>
        <v>0</v>
      </c>
      <c r="I42" s="289" t="str" cm="1">
        <f t="array" ref="I42">IFERROR(_xlfn.CONCAT(_xlfn._xlws.FILTER(Cartographie_des_appareils[Champ d''application],Cartographie_des_appareils[Contrôle NIST]=B42)&amp;CHAR(10)),"")</f>
        <v/>
      </c>
      <c r="J42" s="288">
        <f>SUMIF(Cartographie_des_serveurs_de_sauvegarde[Contrôle NIST],B42,Cartographie_des_serveurs_de_sauvegarde[Émissions totales (kgC02e)])</f>
        <v>0</v>
      </c>
      <c r="K42" s="289" t="str" cm="1">
        <f t="array" ref="K42">_xlfn.CONCAT(
IFERROR(_xlfn.CONCAT(_xlfn._xlws.FILTER(Cartographie_non_cyber_serveurs[Champ d''application],Cartographie_non_cyber_serveurs[Contrôle NIST]=B42)&amp;CHAR(10)),""),
IFERROR(_xlfn.CONCAT(_xlfn._xlws.FILTER(Cartographie_des_serveurs_de_sauvegarde[Champ d''application],Cartographie_des_serveurs_de_sauvegarde[Contrôle NIST]=B42)&amp;CHAR(10)),""),
)</f>
        <v/>
      </c>
      <c r="L42" s="288">
        <f>SUMIF(Cartographie_Solutions_Sur_Site[Contrôle NIST],B42,Cartographie_Solutions_Sur_Site[Émissions totales de carbone du NIST (kgCO2e)])
+SUMIF(Cartographie_Solutions_sur_Cloud[Contrôle NIST],B42,Cartographie_Solutions_sur_Cloud[Émissions totales de carbone du NIST (kgCO2e)])</f>
        <v>0</v>
      </c>
      <c r="M42" s="289" t="str" cm="1">
        <f t="array" ref="M42">_xlfn.CONCAT(
IFERROR(_xlfn.CONCAT(_xlfn._xlws.FILTER(Cartographie_Solutions_Sur_Site[Nom de l''application],#REF!=B42)&amp;CHAR(10)),""),
IFERROR(_xlfn.CONCAT(_xlfn._xlws.FILTER(Cartographie_Solutions_sur_Cloud[Nom de l''application],#REF!=B42)&amp;CHAR(10)),"")
)</f>
        <v/>
      </c>
      <c r="N42" s="288">
        <f>SUMIF(Cartographie_des_TM_externes[Contrôle NIST],B42,Cartographie_des_TM_externes[Émissions de carbone du NIST (kgCO2e)])
+SUMIF(Cartographie_des_externes_prix_fixes[Contrôle NIST],B42,Cartographie_des_externes_prix_fixes[Émissions de carbone du NIST (kgCO2e)])</f>
        <v>0</v>
      </c>
      <c r="O42" s="289" t="str" cm="1">
        <f t="array" ref="O42">_xlfn.CONCAT(
IFERROR(_xlfn.CONCAT(_xlfn._xlws.FILTER(Cartographie_des_TM_externes[Nom du service],#REF!=B42)&amp;CHAR(10)),""),
IFERROR(_xlfn.CONCAT(_xlfn._xlws.FILTER(Cartographie_des_externes_prix_fixes[Nom du service],#REF!=B42)&amp;CHAR(10)),""))</f>
        <v/>
      </c>
      <c r="P42" s="288">
        <f>SUMIF(Cartographie_voyage[Contrôle NIST],B42,Cartographie_voyage[Émissions totales (kgC02e)])</f>
        <v>0</v>
      </c>
      <c r="Q42" s="290" t="str" cm="1">
        <f t="array" ref="Q42">IFERROR(_xlfn.CONCAT(_xlfn._xlws.FILTER(Cartographie_voyage[Type de transport],Cartographie_voyage[Contrôle NIST]=B42)&amp;CHAR(10)),"")</f>
        <v/>
      </c>
      <c r="R42" s="288">
        <f>SUMIF(Cartographie_poste_de_travail_non_cyber_ordinateur_portable[Contrôle NIST],B42,Cartographie_poste_de_travail_non_cyber_ordinateur_portable[Émissions totales (kgC02e)])
+SUMIF(Cartographie_poste_de_travail_non_cyber_ordinateur_de_bureau[Contrôle NIST],B42,Cartographie_poste_de_travail_non_cyber_ordinateur_de_bureau[Émissions totales (kgC02e)])
+SUMIF(Cartographie_non_cyber_VDI[Contrôle NIST],B42,Cartographie_non_cyber_VDI[Émissions totales (kgC02e)])
+SUMIF(Cartographie_non_cyber_serveurs[Contrôle NIST],B42,Cartographie_non_cyber_serveurs[Émissions totales (kgC02e)])</f>
        <v>0</v>
      </c>
      <c r="S42" s="289" t="str" cm="1">
        <f t="array" ref="S42">_xlfn.CONCAT(
IFERROR(_xlfn.CONCAT(_xlfn._xlws.FILTER(Cartographie_poste_de_travail_non_cyber_ordinateur_portable[Champ d''application],Cartographie_poste_de_travail_non_cyber_ordinateur_portable[Contrôle NIST]=B42)&amp;CHAR(10)),""),
IFERROR(_xlfn.CONCAT(_xlfn._xlws.FILTER(Cartographie_poste_de_travail_non_cyber_ordinateur_de_bureau[Champ d''application],Cartographie_poste_de_travail_non_cyber_ordinateur_de_bureau[Contrôle NIST]=B42)&amp;CHAR(10)),""),
IFERROR(_xlfn.CONCAT(_xlfn._xlws.FILTER(Cartographie_non_cyber_VDI[Champ d''application],Cartographie_non_cyber_VDI[Contrôle NIST]=B42)&amp;CHAR(10)),""),
IFERROR(_xlfn.CONCAT(_xlfn._xlws.FILTER(Cartographie_non_cyber_serveurs[Champ d''application],Cartographie_non_cyber_serveurs[Contrôle NIST]=B42)&amp;CHAR(10)),"")
)</f>
        <v/>
      </c>
    </row>
    <row r="43" spans="1:19" ht="73.5" customHeight="1" x14ac:dyDescent="0.3">
      <c r="A43" s="284" t="s">
        <v>4</v>
      </c>
      <c r="B43" s="285" t="s">
        <v>36</v>
      </c>
      <c r="C43" s="284" t="s">
        <v>480</v>
      </c>
      <c r="D4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15972.790834285715</v>
      </c>
      <c r="E43" s="287">
        <f>Tableau_de_bord_par_contrôle[[#This Row],[Émissions annuelles totales de CO2e(kgCO2e)]]/(1000*Total)</f>
        <v>2.8420918354681076E-3</v>
      </c>
      <c r="F43" s="288">
        <f xml:space="preserve">
SUMIF(Cartographie_des_appareils_poste_de_travail_ordinateur_portable[Contrôle NIST],B43,Cartographie_des_appareils_poste_de_travail_ordinateur_portable[Émissions totales (kgC02e)])
+SUMIF(Cartographie_des_appareils_poste_de_travail_ordinateur_de_bureau[Contrôle NIST],B43,Cartographie_des_appareils_poste_de_travail_ordinateur_de_bureau[Émissions totales (kgC02e)])
+SUMIF(Cartographie_des_appareils_écrans[Contrôle NIST],B43,Cartographie_des_appareils_écrans[Émissions totales (kgC02e)])+SUMIF(Cartographie_des_appareils_Smartphones[Contrôle NIST],B43,Cartographie_des_appareils_Smartphones[Émissions totales (kgC02e)])</f>
        <v>0</v>
      </c>
      <c r="G43" s="289" t="str" cm="1">
        <f t="array" ref="G43">_xlfn.CONCAT(
IFERROR(_xlfn.CONCAT(_xlfn._xlws.FILTER(Cartographie_des_appareils_poste_de_travail_ordinateur_portable[Champ d''application],Cartographie_des_appareils_poste_de_travail_ordinateur_portable[Contrôle NIST]=B43)&amp;CHAR(10)),""),
IFERROR(_xlfn.CONCAT(_xlfn._xlws.FILTER(#REF!,#REF!=B43)&amp;CHAR(10)),""),
IFERROR(_xlfn.CONCAT(_xlfn._xlws.FILTER(Cartographie_des_appareils_écrans[Champ d''application],Cartographie_des_appareils_écrans[Contrôle NIST]=B43)&amp;CHAR(10)),""),
IFERROR(_xlfn.CONCAT(_xlfn._xlws.FILTER(Cartographie_des_appareils_Smartphones[Champ d''application],Cartographie_des_appareils_Smartphones[Contrôle NIST]=B43)&amp;CHAR(10)),"")
)</f>
        <v/>
      </c>
      <c r="H43" s="288">
        <f>SUMIF(Cartographie_des_appareils[Contrôle NIST],B43,Cartographie_des_appareils[Émissions totales (kgC02e)])</f>
        <v>15972.790834285715</v>
      </c>
      <c r="I43" s="289" t="str" cm="1">
        <f t="array" ref="I43">IFERROR(_xlfn.CONCAT(_xlfn._xlws.FILTER(Cartographie_des_appareils[Champ d''application],Cartographie_des_appareils[Contrôle NIST]=B43)&amp;CHAR(10)),"")</f>
        <v xml:space="preserve">IPS/IDS dans toute l'entreprise
</v>
      </c>
      <c r="J43" s="288">
        <f>SUMIF(Cartographie_des_serveurs_de_sauvegarde[Contrôle NIST],B43,Cartographie_des_serveurs_de_sauvegarde[Émissions totales (kgC02e)])</f>
        <v>0</v>
      </c>
      <c r="K43" s="289" t="str" cm="1">
        <f t="array" ref="K43">_xlfn.CONCAT(
IFERROR(_xlfn.CONCAT(_xlfn._xlws.FILTER(Cartographie_non_cyber_serveurs[Champ d''application],Cartographie_non_cyber_serveurs[Contrôle NIST]=B43)&amp;CHAR(10)),""),
IFERROR(_xlfn.CONCAT(_xlfn._xlws.FILTER(Cartographie_des_serveurs_de_sauvegarde[Champ d''application],Cartographie_des_serveurs_de_sauvegarde[Contrôle NIST]=B43)&amp;CHAR(10)),""),
)</f>
        <v/>
      </c>
      <c r="L43" s="288">
        <f>SUMIF(Cartographie_Solutions_Sur_Site[Contrôle NIST],B43,Cartographie_Solutions_Sur_Site[Émissions totales de carbone du NIST (kgCO2e)])
+SUMIF(Cartographie_Solutions_sur_Cloud[Contrôle NIST],B43,Cartographie_Solutions_sur_Cloud[Émissions totales de carbone du NIST (kgCO2e)])</f>
        <v>0</v>
      </c>
      <c r="M43" s="289" t="str" cm="1">
        <f t="array" ref="M43">_xlfn.CONCAT(
IFERROR(_xlfn.CONCAT(_xlfn._xlws.FILTER(Cartographie_Solutions_Sur_Site[Nom de l''application],#REF!=B43)&amp;CHAR(10)),""),
IFERROR(_xlfn.CONCAT(_xlfn._xlws.FILTER(Cartographie_Solutions_sur_Cloud[Nom de l''application],#REF!=B43)&amp;CHAR(10)),"")
)</f>
        <v/>
      </c>
      <c r="N43" s="288">
        <f>SUMIF(Cartographie_des_TM_externes[Contrôle NIST],B43,Cartographie_des_TM_externes[Émissions de carbone du NIST (kgCO2e)])
+SUMIF(Cartographie_des_externes_prix_fixes[Contrôle NIST],B43,Cartographie_des_externes_prix_fixes[Émissions de carbone du NIST (kgCO2e)])</f>
        <v>0</v>
      </c>
      <c r="O43" s="289" t="str" cm="1">
        <f t="array" ref="O43">_xlfn.CONCAT(
IFERROR(_xlfn.CONCAT(_xlfn._xlws.FILTER(Cartographie_des_TM_externes[Nom du service],#REF!=B43)&amp;CHAR(10)),""),
IFERROR(_xlfn.CONCAT(_xlfn._xlws.FILTER(Cartographie_des_externes_prix_fixes[Nom du service],#REF!=B43)&amp;CHAR(10)),""))</f>
        <v/>
      </c>
      <c r="P43" s="288">
        <f>SUMIF(Cartographie_voyage[Contrôle NIST],B43,Cartographie_voyage[Émissions totales (kgC02e)])</f>
        <v>0</v>
      </c>
      <c r="Q43" s="290" t="str" cm="1">
        <f t="array" ref="Q43">IFERROR(_xlfn.CONCAT(_xlfn._xlws.FILTER(Cartographie_voyage[Type de transport],Cartographie_voyage[Contrôle NIST]=B43)&amp;CHAR(10)),"")</f>
        <v/>
      </c>
      <c r="R43" s="288">
        <f>SUMIF(Cartographie_poste_de_travail_non_cyber_ordinateur_portable[Contrôle NIST],B43,Cartographie_poste_de_travail_non_cyber_ordinateur_portable[Émissions totales (kgC02e)])
+SUMIF(Cartographie_poste_de_travail_non_cyber_ordinateur_de_bureau[Contrôle NIST],B43,Cartographie_poste_de_travail_non_cyber_ordinateur_de_bureau[Émissions totales (kgC02e)])
+SUMIF(Cartographie_non_cyber_VDI[Contrôle NIST],B43,Cartographie_non_cyber_VDI[Émissions totales (kgC02e)])
+SUMIF(Cartographie_non_cyber_serveurs[Contrôle NIST],B43,Cartographie_non_cyber_serveurs[Émissions totales (kgC02e)])</f>
        <v>0</v>
      </c>
      <c r="S43" s="289" t="str" cm="1">
        <f t="array" ref="S43">_xlfn.CONCAT(
IFERROR(_xlfn.CONCAT(_xlfn._xlws.FILTER(Cartographie_poste_de_travail_non_cyber_ordinateur_portable[Champ d''application],Cartographie_poste_de_travail_non_cyber_ordinateur_portable[Contrôle NIST]=B43)&amp;CHAR(10)),""),
IFERROR(_xlfn.CONCAT(_xlfn._xlws.FILTER(Cartographie_poste_de_travail_non_cyber_ordinateur_de_bureau[Champ d''application],Cartographie_poste_de_travail_non_cyber_ordinateur_de_bureau[Contrôle NIST]=B43)&amp;CHAR(10)),""),
IFERROR(_xlfn.CONCAT(_xlfn._xlws.FILTER(Cartographie_non_cyber_VDI[Champ d''application],Cartographie_non_cyber_VDI[Contrôle NIST]=B43)&amp;CHAR(10)),""),
IFERROR(_xlfn.CONCAT(_xlfn._xlws.FILTER(Cartographie_non_cyber_serveurs[Champ d''application],Cartographie_non_cyber_serveurs[Contrôle NIST]=B43)&amp;CHAR(10)),"")
)</f>
        <v/>
      </c>
    </row>
    <row r="44" spans="1:19" ht="73.5" customHeight="1" x14ac:dyDescent="0.3">
      <c r="A44" s="284" t="s">
        <v>4</v>
      </c>
      <c r="B44" s="285" t="s">
        <v>37</v>
      </c>
      <c r="C44" s="284" t="s">
        <v>481</v>
      </c>
      <c r="D4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4" s="287">
        <f>Tableau_de_bord_par_contrôle[[#This Row],[Émissions annuelles totales de CO2e(kgCO2e)]]/(1000*Total)</f>
        <v>0</v>
      </c>
      <c r="F44" s="288">
        <f xml:space="preserve">
SUMIF(Cartographie_des_appareils_poste_de_travail_ordinateur_portable[Contrôle NIST],B44,Cartographie_des_appareils_poste_de_travail_ordinateur_portable[Émissions totales (kgC02e)])
+SUMIF(Cartographie_des_appareils_poste_de_travail_ordinateur_de_bureau[Contrôle NIST],B44,Cartographie_des_appareils_poste_de_travail_ordinateur_de_bureau[Émissions totales (kgC02e)])
+SUMIF(Cartographie_des_appareils_écrans[Contrôle NIST],B44,Cartographie_des_appareils_écrans[Émissions totales (kgC02e)])+SUMIF(Cartographie_des_appareils_Smartphones[Contrôle NIST],B44,Cartographie_des_appareils_Smartphones[Émissions totales (kgC02e)])</f>
        <v>0</v>
      </c>
      <c r="G44" s="289" t="str" cm="1">
        <f t="array" ref="G44">_xlfn.CONCAT(
IFERROR(_xlfn.CONCAT(_xlfn._xlws.FILTER(Cartographie_des_appareils_poste_de_travail_ordinateur_portable[Champ d''application],Cartographie_des_appareils_poste_de_travail_ordinateur_portable[Contrôle NIST]=B44)&amp;CHAR(10)),""),
IFERROR(_xlfn.CONCAT(_xlfn._xlws.FILTER(#REF!,#REF!=B44)&amp;CHAR(10)),""),
IFERROR(_xlfn.CONCAT(_xlfn._xlws.FILTER(Cartographie_des_appareils_écrans[Champ d''application],Cartographie_des_appareils_écrans[Contrôle NIST]=B44)&amp;CHAR(10)),""),
IFERROR(_xlfn.CONCAT(_xlfn._xlws.FILTER(Cartographie_des_appareils_Smartphones[Champ d''application],Cartographie_des_appareils_Smartphones[Contrôle NIST]=B44)&amp;CHAR(10)),"")
)</f>
        <v/>
      </c>
      <c r="H44" s="288">
        <f>SUMIF(Cartographie_des_appareils[Contrôle NIST],B44,Cartographie_des_appareils[Émissions totales (kgC02e)])</f>
        <v>0</v>
      </c>
      <c r="I44" s="289" t="str" cm="1">
        <f t="array" ref="I44">IFERROR(_xlfn.CONCAT(_xlfn._xlws.FILTER(Cartographie_des_appareils[Champ d''application],Cartographie_des_appareils[Contrôle NIST]=B44)&amp;CHAR(10)),"")</f>
        <v/>
      </c>
      <c r="J44" s="288">
        <f>SUMIF(Cartographie_des_serveurs_de_sauvegarde[Contrôle NIST],B44,Cartographie_des_serveurs_de_sauvegarde[Émissions totales (kgC02e)])</f>
        <v>0</v>
      </c>
      <c r="K44" s="289" t="str" cm="1">
        <f t="array" ref="K44">_xlfn.CONCAT(
IFERROR(_xlfn.CONCAT(_xlfn._xlws.FILTER(Cartographie_non_cyber_serveurs[Champ d''application],Cartographie_non_cyber_serveurs[Contrôle NIST]=B44)&amp;CHAR(10)),""),
IFERROR(_xlfn.CONCAT(_xlfn._xlws.FILTER(Cartographie_des_serveurs_de_sauvegarde[Champ d''application],Cartographie_des_serveurs_de_sauvegarde[Contrôle NIST]=B44)&amp;CHAR(10)),""),
)</f>
        <v/>
      </c>
      <c r="L44" s="288">
        <f>SUMIF(Cartographie_Solutions_Sur_Site[Contrôle NIST],B44,Cartographie_Solutions_Sur_Site[Émissions totales de carbone du NIST (kgCO2e)])
+SUMIF(Cartographie_Solutions_sur_Cloud[Contrôle NIST],B44,Cartographie_Solutions_sur_Cloud[Émissions totales de carbone du NIST (kgCO2e)])</f>
        <v>0</v>
      </c>
      <c r="M44" s="289" t="str" cm="1">
        <f t="array" ref="M44">_xlfn.CONCAT(
IFERROR(_xlfn.CONCAT(_xlfn._xlws.FILTER(Cartographie_Solutions_Sur_Site[Nom de l''application],#REF!=B44)&amp;CHAR(10)),""),
IFERROR(_xlfn.CONCAT(_xlfn._xlws.FILTER(Cartographie_Solutions_sur_Cloud[Nom de l''application],#REF!=B44)&amp;CHAR(10)),"")
)</f>
        <v/>
      </c>
      <c r="N44" s="288">
        <f>SUMIF(Cartographie_des_TM_externes[Contrôle NIST],B44,Cartographie_des_TM_externes[Émissions de carbone du NIST (kgCO2e)])
+SUMIF(Cartographie_des_externes_prix_fixes[Contrôle NIST],B44,Cartographie_des_externes_prix_fixes[Émissions de carbone du NIST (kgCO2e)])</f>
        <v>0</v>
      </c>
      <c r="O44" s="289" t="str" cm="1">
        <f t="array" ref="O44">_xlfn.CONCAT(
IFERROR(_xlfn.CONCAT(_xlfn._xlws.FILTER(Cartographie_des_TM_externes[Nom du service],#REF!=B44)&amp;CHAR(10)),""),
IFERROR(_xlfn.CONCAT(_xlfn._xlws.FILTER(Cartographie_des_externes_prix_fixes[Nom du service],#REF!=B44)&amp;CHAR(10)),""))</f>
        <v/>
      </c>
      <c r="P44" s="288">
        <f>SUMIF(Cartographie_voyage[Contrôle NIST],B44,Cartographie_voyage[Émissions totales (kgC02e)])</f>
        <v>0</v>
      </c>
      <c r="Q44" s="290" t="str" cm="1">
        <f t="array" ref="Q44">IFERROR(_xlfn.CONCAT(_xlfn._xlws.FILTER(Cartographie_voyage[Type de transport],Cartographie_voyage[Contrôle NIST]=B44)&amp;CHAR(10)),"")</f>
        <v/>
      </c>
      <c r="R44" s="288">
        <f>SUMIF(Cartographie_poste_de_travail_non_cyber_ordinateur_portable[Contrôle NIST],B44,Cartographie_poste_de_travail_non_cyber_ordinateur_portable[Émissions totales (kgC02e)])
+SUMIF(Cartographie_poste_de_travail_non_cyber_ordinateur_de_bureau[Contrôle NIST],B44,Cartographie_poste_de_travail_non_cyber_ordinateur_de_bureau[Émissions totales (kgC02e)])
+SUMIF(Cartographie_non_cyber_VDI[Contrôle NIST],B44,Cartographie_non_cyber_VDI[Émissions totales (kgC02e)])
+SUMIF(Cartographie_non_cyber_serveurs[Contrôle NIST],B44,Cartographie_non_cyber_serveurs[Émissions totales (kgC02e)])</f>
        <v>0</v>
      </c>
      <c r="S44" s="289" t="str" cm="1">
        <f t="array" ref="S44">_xlfn.CONCAT(
IFERROR(_xlfn.CONCAT(_xlfn._xlws.FILTER(Cartographie_poste_de_travail_non_cyber_ordinateur_portable[Champ d''application],Cartographie_poste_de_travail_non_cyber_ordinateur_portable[Contrôle NIST]=B44)&amp;CHAR(10)),""),
IFERROR(_xlfn.CONCAT(_xlfn._xlws.FILTER(Cartographie_poste_de_travail_non_cyber_ordinateur_de_bureau[Champ d''application],Cartographie_poste_de_travail_non_cyber_ordinateur_de_bureau[Contrôle NIST]=B44)&amp;CHAR(10)),""),
IFERROR(_xlfn.CONCAT(_xlfn._xlws.FILTER(Cartographie_non_cyber_VDI[Champ d''application],Cartographie_non_cyber_VDI[Contrôle NIST]=B44)&amp;CHAR(10)),""),
IFERROR(_xlfn.CONCAT(_xlfn._xlws.FILTER(Cartographie_non_cyber_serveurs[Champ d''application],Cartographie_non_cyber_serveurs[Contrôle NIST]=B44)&amp;CHAR(10)),"")
)</f>
        <v/>
      </c>
    </row>
    <row r="45" spans="1:19" ht="73.5" customHeight="1" x14ac:dyDescent="0.3">
      <c r="A45" s="284" t="s">
        <v>4</v>
      </c>
      <c r="B45" s="285" t="s">
        <v>38</v>
      </c>
      <c r="C45" s="284" t="s">
        <v>482</v>
      </c>
      <c r="D4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5" s="287">
        <f>Tableau_de_bord_par_contrôle[[#This Row],[Émissions annuelles totales de CO2e(kgCO2e)]]/(1000*Total)</f>
        <v>0</v>
      </c>
      <c r="F45" s="288">
        <f xml:space="preserve">
SUMIF(Cartographie_des_appareils_poste_de_travail_ordinateur_portable[Contrôle NIST],B45,Cartographie_des_appareils_poste_de_travail_ordinateur_portable[Émissions totales (kgC02e)])
+SUMIF(Cartographie_des_appareils_poste_de_travail_ordinateur_de_bureau[Contrôle NIST],B45,Cartographie_des_appareils_poste_de_travail_ordinateur_de_bureau[Émissions totales (kgC02e)])
+SUMIF(Cartographie_des_appareils_écrans[Contrôle NIST],B45,Cartographie_des_appareils_écrans[Émissions totales (kgC02e)])+SUMIF(Cartographie_des_appareils_Smartphones[Contrôle NIST],B45,Cartographie_des_appareils_Smartphones[Émissions totales (kgC02e)])</f>
        <v>0</v>
      </c>
      <c r="G45" s="289" t="str" cm="1">
        <f t="array" ref="G45">_xlfn.CONCAT(
IFERROR(_xlfn.CONCAT(_xlfn._xlws.FILTER(Cartographie_des_appareils_poste_de_travail_ordinateur_portable[Champ d''application],Cartographie_des_appareils_poste_de_travail_ordinateur_portable[Contrôle NIST]=B45)&amp;CHAR(10)),""),
IFERROR(_xlfn.CONCAT(_xlfn._xlws.FILTER(#REF!,#REF!=B45)&amp;CHAR(10)),""),
IFERROR(_xlfn.CONCAT(_xlfn._xlws.FILTER(Cartographie_des_appareils_écrans[Champ d''application],Cartographie_des_appareils_écrans[Contrôle NIST]=B45)&amp;CHAR(10)),""),
IFERROR(_xlfn.CONCAT(_xlfn._xlws.FILTER(Cartographie_des_appareils_Smartphones[Champ d''application],Cartographie_des_appareils_Smartphones[Contrôle NIST]=B45)&amp;CHAR(10)),"")
)</f>
        <v/>
      </c>
      <c r="H45" s="288">
        <f>SUMIF(Cartographie_des_appareils[Contrôle NIST],B45,Cartographie_des_appareils[Émissions totales (kgC02e)])</f>
        <v>0</v>
      </c>
      <c r="I45" s="289" t="str" cm="1">
        <f t="array" ref="I45">IFERROR(_xlfn.CONCAT(_xlfn._xlws.FILTER(Cartographie_des_appareils[Champ d''application],Cartographie_des_appareils[Contrôle NIST]=B45)&amp;CHAR(10)),"")</f>
        <v/>
      </c>
      <c r="J45" s="288">
        <f>SUMIF(Cartographie_des_serveurs_de_sauvegarde[Contrôle NIST],B45,Cartographie_des_serveurs_de_sauvegarde[Émissions totales (kgC02e)])</f>
        <v>0</v>
      </c>
      <c r="K45" s="289" t="str" cm="1">
        <f t="array" ref="K45">_xlfn.CONCAT(
IFERROR(_xlfn.CONCAT(_xlfn._xlws.FILTER(Cartographie_non_cyber_serveurs[Champ d''application],Cartographie_non_cyber_serveurs[Contrôle NIST]=B45)&amp;CHAR(10)),""),
IFERROR(_xlfn.CONCAT(_xlfn._xlws.FILTER(Cartographie_des_serveurs_de_sauvegarde[Champ d''application],Cartographie_des_serveurs_de_sauvegarde[Contrôle NIST]=B45)&amp;CHAR(10)),""),
)</f>
        <v/>
      </c>
      <c r="L45" s="288">
        <f>SUMIF(Cartographie_Solutions_Sur_Site[Contrôle NIST],B45,Cartographie_Solutions_Sur_Site[Émissions totales de carbone du NIST (kgCO2e)])
+SUMIF(Cartographie_Solutions_sur_Cloud[Contrôle NIST],B45,Cartographie_Solutions_sur_Cloud[Émissions totales de carbone du NIST (kgCO2e)])</f>
        <v>0</v>
      </c>
      <c r="M45" s="289" t="str" cm="1">
        <f t="array" ref="M45">_xlfn.CONCAT(
IFERROR(_xlfn.CONCAT(_xlfn._xlws.FILTER(Cartographie_Solutions_Sur_Site[Nom de l''application],#REF!=B45)&amp;CHAR(10)),""),
IFERROR(_xlfn.CONCAT(_xlfn._xlws.FILTER(Cartographie_Solutions_sur_Cloud[Nom de l''application],#REF!=B45)&amp;CHAR(10)),"")
)</f>
        <v/>
      </c>
      <c r="N45" s="288">
        <f>SUMIF(Cartographie_des_TM_externes[Contrôle NIST],B45,Cartographie_des_TM_externes[Émissions de carbone du NIST (kgCO2e)])
+SUMIF(Cartographie_des_externes_prix_fixes[Contrôle NIST],B45,Cartographie_des_externes_prix_fixes[Émissions de carbone du NIST (kgCO2e)])</f>
        <v>0</v>
      </c>
      <c r="O45" s="289" t="str" cm="1">
        <f t="array" ref="O45">_xlfn.CONCAT(
IFERROR(_xlfn.CONCAT(_xlfn._xlws.FILTER(Cartographie_des_TM_externes[Nom du service],#REF!=B45)&amp;CHAR(10)),""),
IFERROR(_xlfn.CONCAT(_xlfn._xlws.FILTER(Cartographie_des_externes_prix_fixes[Nom du service],#REF!=B45)&amp;CHAR(10)),""))</f>
        <v/>
      </c>
      <c r="P45" s="288">
        <f>SUMIF(Cartographie_voyage[Contrôle NIST],B45,Cartographie_voyage[Émissions totales (kgC02e)])</f>
        <v>0</v>
      </c>
      <c r="Q45" s="290" t="str" cm="1">
        <f t="array" ref="Q45">IFERROR(_xlfn.CONCAT(_xlfn._xlws.FILTER(Cartographie_voyage[Type de transport],Cartographie_voyage[Contrôle NIST]=B45)&amp;CHAR(10)),"")</f>
        <v/>
      </c>
      <c r="R45" s="288">
        <f>SUMIF(Cartographie_poste_de_travail_non_cyber_ordinateur_portable[Contrôle NIST],B45,Cartographie_poste_de_travail_non_cyber_ordinateur_portable[Émissions totales (kgC02e)])
+SUMIF(Cartographie_poste_de_travail_non_cyber_ordinateur_de_bureau[Contrôle NIST],B45,Cartographie_poste_de_travail_non_cyber_ordinateur_de_bureau[Émissions totales (kgC02e)])
+SUMIF(Cartographie_non_cyber_VDI[Contrôle NIST],B45,Cartographie_non_cyber_VDI[Émissions totales (kgC02e)])
+SUMIF(Cartographie_non_cyber_serveurs[Contrôle NIST],B45,Cartographie_non_cyber_serveurs[Émissions totales (kgC02e)])</f>
        <v>0</v>
      </c>
      <c r="S45" s="289" t="str" cm="1">
        <f t="array" ref="S45">_xlfn.CONCAT(
IFERROR(_xlfn.CONCAT(_xlfn._xlws.FILTER(Cartographie_poste_de_travail_non_cyber_ordinateur_portable[Champ d''application],Cartographie_poste_de_travail_non_cyber_ordinateur_portable[Contrôle NIST]=B45)&amp;CHAR(10)),""),
IFERROR(_xlfn.CONCAT(_xlfn._xlws.FILTER(Cartographie_poste_de_travail_non_cyber_ordinateur_de_bureau[Champ d''application],Cartographie_poste_de_travail_non_cyber_ordinateur_de_bureau[Contrôle NIST]=B45)&amp;CHAR(10)),""),
IFERROR(_xlfn.CONCAT(_xlfn._xlws.FILTER(Cartographie_non_cyber_VDI[Champ d''application],Cartographie_non_cyber_VDI[Contrôle NIST]=B45)&amp;CHAR(10)),""),
IFERROR(_xlfn.CONCAT(_xlfn._xlws.FILTER(Cartographie_non_cyber_serveurs[Champ d''application],Cartographie_non_cyber_serveurs[Contrôle NIST]=B45)&amp;CHAR(10)),"")
)</f>
        <v/>
      </c>
    </row>
    <row r="46" spans="1:19" ht="73.5" customHeight="1" x14ac:dyDescent="0.3">
      <c r="A46" s="284" t="s">
        <v>5</v>
      </c>
      <c r="B46" s="285" t="s">
        <v>39</v>
      </c>
      <c r="C46" s="284" t="s">
        <v>483</v>
      </c>
      <c r="D4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6" s="287">
        <f>Tableau_de_bord_par_contrôle[[#This Row],[Émissions annuelles totales de CO2e(kgCO2e)]]/(1000*Total)</f>
        <v>0</v>
      </c>
      <c r="F46" s="288">
        <f xml:space="preserve">
SUMIF(Cartographie_des_appareils_poste_de_travail_ordinateur_portable[Contrôle NIST],B46,Cartographie_des_appareils_poste_de_travail_ordinateur_portable[Émissions totales (kgC02e)])
+SUMIF(Cartographie_des_appareils_poste_de_travail_ordinateur_de_bureau[Contrôle NIST],B46,Cartographie_des_appareils_poste_de_travail_ordinateur_de_bureau[Émissions totales (kgC02e)])
+SUMIF(Cartographie_des_appareils_écrans[Contrôle NIST],B46,Cartographie_des_appareils_écrans[Émissions totales (kgC02e)])+SUMIF(Cartographie_des_appareils_Smartphones[Contrôle NIST],B46,Cartographie_des_appareils_Smartphones[Émissions totales (kgC02e)])</f>
        <v>0</v>
      </c>
      <c r="G46" s="289" t="str" cm="1">
        <f t="array" ref="G46">_xlfn.CONCAT(
IFERROR(_xlfn.CONCAT(_xlfn._xlws.FILTER(Cartographie_des_appareils_poste_de_travail_ordinateur_portable[Champ d''application],Cartographie_des_appareils_poste_de_travail_ordinateur_portable[Contrôle NIST]=B46)&amp;CHAR(10)),""),
IFERROR(_xlfn.CONCAT(_xlfn._xlws.FILTER(#REF!,#REF!=B46)&amp;CHAR(10)),""),
IFERROR(_xlfn.CONCAT(_xlfn._xlws.FILTER(Cartographie_des_appareils_écrans[Champ d''application],Cartographie_des_appareils_écrans[Contrôle NIST]=B46)&amp;CHAR(10)),""),
IFERROR(_xlfn.CONCAT(_xlfn._xlws.FILTER(Cartographie_des_appareils_Smartphones[Champ d''application],Cartographie_des_appareils_Smartphones[Contrôle NIST]=B46)&amp;CHAR(10)),"")
)</f>
        <v/>
      </c>
      <c r="H46" s="288">
        <f>SUMIF(Cartographie_des_appareils[Contrôle NIST],B46,Cartographie_des_appareils[Émissions totales (kgC02e)])</f>
        <v>0</v>
      </c>
      <c r="I46" s="289" t="str" cm="1">
        <f t="array" ref="I46">IFERROR(_xlfn.CONCAT(_xlfn._xlws.FILTER(Cartographie_des_appareils[Champ d''application],Cartographie_des_appareils[Contrôle NIST]=B46)&amp;CHAR(10)),"")</f>
        <v/>
      </c>
      <c r="J46" s="288">
        <f>SUMIF(Cartographie_des_serveurs_de_sauvegarde[Contrôle NIST],B46,Cartographie_des_serveurs_de_sauvegarde[Émissions totales (kgC02e)])</f>
        <v>0</v>
      </c>
      <c r="K46" s="289" t="str" cm="1">
        <f t="array" ref="K46">_xlfn.CONCAT(
IFERROR(_xlfn.CONCAT(_xlfn._xlws.FILTER(Cartographie_non_cyber_serveurs[Champ d''application],Cartographie_non_cyber_serveurs[Contrôle NIST]=B46)&amp;CHAR(10)),""),
IFERROR(_xlfn.CONCAT(_xlfn._xlws.FILTER(Cartographie_des_serveurs_de_sauvegarde[Champ d''application],Cartographie_des_serveurs_de_sauvegarde[Contrôle NIST]=B46)&amp;CHAR(10)),""),
)</f>
        <v/>
      </c>
      <c r="L46" s="288">
        <f>SUMIF(Cartographie_Solutions_Sur_Site[Contrôle NIST],B46,Cartographie_Solutions_Sur_Site[Émissions totales de carbone du NIST (kgCO2e)])
+SUMIF(Cartographie_Solutions_sur_Cloud[Contrôle NIST],B46,Cartographie_Solutions_sur_Cloud[Émissions totales de carbone du NIST (kgCO2e)])</f>
        <v>0</v>
      </c>
      <c r="M46" s="289" t="str" cm="1">
        <f t="array" ref="M46">_xlfn.CONCAT(
IFERROR(_xlfn.CONCAT(_xlfn._xlws.FILTER(Cartographie_Solutions_Sur_Site[Nom de l''application],#REF!=B46)&amp;CHAR(10)),""),
IFERROR(_xlfn.CONCAT(_xlfn._xlws.FILTER(Cartographie_Solutions_sur_Cloud[Nom de l''application],#REF!=B46)&amp;CHAR(10)),"")
)</f>
        <v/>
      </c>
      <c r="N46" s="288">
        <f>SUMIF(Cartographie_des_TM_externes[Contrôle NIST],B46,Cartographie_des_TM_externes[Émissions de carbone du NIST (kgCO2e)])
+SUMIF(Cartographie_des_externes_prix_fixes[Contrôle NIST],B46,Cartographie_des_externes_prix_fixes[Émissions de carbone du NIST (kgCO2e)])</f>
        <v>0</v>
      </c>
      <c r="O46" s="289" t="str" cm="1">
        <f t="array" ref="O46">_xlfn.CONCAT(
IFERROR(_xlfn.CONCAT(_xlfn._xlws.FILTER(Cartographie_des_TM_externes[Nom du service],#REF!=B46)&amp;CHAR(10)),""),
IFERROR(_xlfn.CONCAT(_xlfn._xlws.FILTER(Cartographie_des_externes_prix_fixes[Nom du service],#REF!=B46)&amp;CHAR(10)),""))</f>
        <v/>
      </c>
      <c r="P46" s="288">
        <f>SUMIF(Cartographie_voyage[Contrôle NIST],B46,Cartographie_voyage[Émissions totales (kgC02e)])</f>
        <v>0</v>
      </c>
      <c r="Q46" s="290" t="str" cm="1">
        <f t="array" ref="Q46">IFERROR(_xlfn.CONCAT(_xlfn._xlws.FILTER(Cartographie_voyage[Type de transport],Cartographie_voyage[Contrôle NIST]=B46)&amp;CHAR(10)),"")</f>
        <v/>
      </c>
      <c r="R46" s="288">
        <f>SUMIF(Cartographie_poste_de_travail_non_cyber_ordinateur_portable[Contrôle NIST],B46,Cartographie_poste_de_travail_non_cyber_ordinateur_portable[Émissions totales (kgC02e)])
+SUMIF(Cartographie_poste_de_travail_non_cyber_ordinateur_de_bureau[Contrôle NIST],B46,Cartographie_poste_de_travail_non_cyber_ordinateur_de_bureau[Émissions totales (kgC02e)])
+SUMIF(Cartographie_non_cyber_VDI[Contrôle NIST],B46,Cartographie_non_cyber_VDI[Émissions totales (kgC02e)])
+SUMIF(Cartographie_non_cyber_serveurs[Contrôle NIST],B46,Cartographie_non_cyber_serveurs[Émissions totales (kgC02e)])</f>
        <v>0</v>
      </c>
      <c r="S46" s="289" t="str" cm="1">
        <f t="array" ref="S46">_xlfn.CONCAT(
IFERROR(_xlfn.CONCAT(_xlfn._xlws.FILTER(Cartographie_poste_de_travail_non_cyber_ordinateur_portable[Champ d''application],Cartographie_poste_de_travail_non_cyber_ordinateur_portable[Contrôle NIST]=B46)&amp;CHAR(10)),""),
IFERROR(_xlfn.CONCAT(_xlfn._xlws.FILTER(Cartographie_poste_de_travail_non_cyber_ordinateur_de_bureau[Champ d''application],Cartographie_poste_de_travail_non_cyber_ordinateur_de_bureau[Contrôle NIST]=B46)&amp;CHAR(10)),""),
IFERROR(_xlfn.CONCAT(_xlfn._xlws.FILTER(Cartographie_non_cyber_VDI[Champ d''application],Cartographie_non_cyber_VDI[Contrôle NIST]=B46)&amp;CHAR(10)),""),
IFERROR(_xlfn.CONCAT(_xlfn._xlws.FILTER(Cartographie_non_cyber_serveurs[Champ d''application],Cartographie_non_cyber_serveurs[Contrôle NIST]=B46)&amp;CHAR(10)),"")
)</f>
        <v/>
      </c>
    </row>
    <row r="47" spans="1:19" ht="73.5" customHeight="1" x14ac:dyDescent="0.3">
      <c r="A47" s="284" t="s">
        <v>5</v>
      </c>
      <c r="B47" s="285" t="s">
        <v>40</v>
      </c>
      <c r="C47" s="284" t="s">
        <v>484</v>
      </c>
      <c r="D4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7" s="287">
        <f>Tableau_de_bord_par_contrôle[[#This Row],[Émissions annuelles totales de CO2e(kgCO2e)]]/(1000*Total)</f>
        <v>0</v>
      </c>
      <c r="F47" s="288">
        <f xml:space="preserve">
SUMIF(Cartographie_des_appareils_poste_de_travail_ordinateur_portable[Contrôle NIST],B47,Cartographie_des_appareils_poste_de_travail_ordinateur_portable[Émissions totales (kgC02e)])
+SUMIF(Cartographie_des_appareils_poste_de_travail_ordinateur_de_bureau[Contrôle NIST],B47,Cartographie_des_appareils_poste_de_travail_ordinateur_de_bureau[Émissions totales (kgC02e)])
+SUMIF(Cartographie_des_appareils_écrans[Contrôle NIST],B47,Cartographie_des_appareils_écrans[Émissions totales (kgC02e)])+SUMIF(Cartographie_des_appareils_Smartphones[Contrôle NIST],B47,Cartographie_des_appareils_Smartphones[Émissions totales (kgC02e)])</f>
        <v>0</v>
      </c>
      <c r="G47" s="289" t="str" cm="1">
        <f t="array" ref="G47">_xlfn.CONCAT(
IFERROR(_xlfn.CONCAT(_xlfn._xlws.FILTER(Cartographie_des_appareils_poste_de_travail_ordinateur_portable[Champ d''application],Cartographie_des_appareils_poste_de_travail_ordinateur_portable[Contrôle NIST]=B47)&amp;CHAR(10)),""),
IFERROR(_xlfn.CONCAT(_xlfn._xlws.FILTER(#REF!,#REF!=B47)&amp;CHAR(10)),""),
IFERROR(_xlfn.CONCAT(_xlfn._xlws.FILTER(Cartographie_des_appareils_écrans[Champ d''application],Cartographie_des_appareils_écrans[Contrôle NIST]=B47)&amp;CHAR(10)),""),
IFERROR(_xlfn.CONCAT(_xlfn._xlws.FILTER(Cartographie_des_appareils_Smartphones[Champ d''application],Cartographie_des_appareils_Smartphones[Contrôle NIST]=B47)&amp;CHAR(10)),"")
)</f>
        <v/>
      </c>
      <c r="H47" s="288">
        <f>SUMIF(Cartographie_des_appareils[Contrôle NIST],B47,Cartographie_des_appareils[Émissions totales (kgC02e)])</f>
        <v>0</v>
      </c>
      <c r="I47" s="289" t="str" cm="1">
        <f t="array" ref="I47">IFERROR(_xlfn.CONCAT(_xlfn._xlws.FILTER(Cartographie_des_appareils[Champ d''application],Cartographie_des_appareils[Contrôle NIST]=B47)&amp;CHAR(10)),"")</f>
        <v/>
      </c>
      <c r="J47" s="288">
        <f>SUMIF(Cartographie_des_serveurs_de_sauvegarde[Contrôle NIST],B47,Cartographie_des_serveurs_de_sauvegarde[Émissions totales (kgC02e)])</f>
        <v>0</v>
      </c>
      <c r="K47" s="289" t="str" cm="1">
        <f t="array" ref="K47">_xlfn.CONCAT(
IFERROR(_xlfn.CONCAT(_xlfn._xlws.FILTER(Cartographie_non_cyber_serveurs[Champ d''application],Cartographie_non_cyber_serveurs[Contrôle NIST]=B47)&amp;CHAR(10)),""),
IFERROR(_xlfn.CONCAT(_xlfn._xlws.FILTER(Cartographie_des_serveurs_de_sauvegarde[Champ d''application],Cartographie_des_serveurs_de_sauvegarde[Contrôle NIST]=B47)&amp;CHAR(10)),""),
)</f>
        <v/>
      </c>
      <c r="L47" s="288">
        <f>SUMIF(Cartographie_Solutions_Sur_Site[Contrôle NIST],B47,Cartographie_Solutions_Sur_Site[Émissions totales de carbone du NIST (kgCO2e)])
+SUMIF(Cartographie_Solutions_sur_Cloud[Contrôle NIST],B47,Cartographie_Solutions_sur_Cloud[Émissions totales de carbone du NIST (kgCO2e)])</f>
        <v>0</v>
      </c>
      <c r="M47" s="289" t="str" cm="1">
        <f t="array" ref="M47">_xlfn.CONCAT(
IFERROR(_xlfn.CONCAT(_xlfn._xlws.FILTER(Cartographie_Solutions_Sur_Site[Nom de l''application],#REF!=B47)&amp;CHAR(10)),""),
IFERROR(_xlfn.CONCAT(_xlfn._xlws.FILTER(Cartographie_Solutions_sur_Cloud[Nom de l''application],#REF!=B47)&amp;CHAR(10)),"")
)</f>
        <v/>
      </c>
      <c r="N47" s="288">
        <f>SUMIF(Cartographie_des_TM_externes[Contrôle NIST],B47,Cartographie_des_TM_externes[Émissions de carbone du NIST (kgCO2e)])
+SUMIF(Cartographie_des_externes_prix_fixes[Contrôle NIST],B47,Cartographie_des_externes_prix_fixes[Émissions de carbone du NIST (kgCO2e)])</f>
        <v>0</v>
      </c>
      <c r="O47" s="289" t="str" cm="1">
        <f t="array" ref="O47">_xlfn.CONCAT(
IFERROR(_xlfn.CONCAT(_xlfn._xlws.FILTER(Cartographie_des_TM_externes[Nom du service],#REF!=B47)&amp;CHAR(10)),""),
IFERROR(_xlfn.CONCAT(_xlfn._xlws.FILTER(Cartographie_des_externes_prix_fixes[Nom du service],#REF!=B47)&amp;CHAR(10)),""))</f>
        <v/>
      </c>
      <c r="P47" s="288">
        <f>SUMIF(Cartographie_voyage[Contrôle NIST],B47,Cartographie_voyage[Émissions totales (kgC02e)])</f>
        <v>0</v>
      </c>
      <c r="Q47" s="290" t="str" cm="1">
        <f t="array" ref="Q47">IFERROR(_xlfn.CONCAT(_xlfn._xlws.FILTER(Cartographie_voyage[Type de transport],Cartographie_voyage[Contrôle NIST]=B47)&amp;CHAR(10)),"")</f>
        <v/>
      </c>
      <c r="R47" s="288">
        <f>SUMIF(Cartographie_poste_de_travail_non_cyber_ordinateur_portable[Contrôle NIST],B47,Cartographie_poste_de_travail_non_cyber_ordinateur_portable[Émissions totales (kgC02e)])
+SUMIF(Cartographie_poste_de_travail_non_cyber_ordinateur_de_bureau[Contrôle NIST],B47,Cartographie_poste_de_travail_non_cyber_ordinateur_de_bureau[Émissions totales (kgC02e)])
+SUMIF(Cartographie_non_cyber_VDI[Contrôle NIST],B47,Cartographie_non_cyber_VDI[Émissions totales (kgC02e)])
+SUMIF(Cartographie_non_cyber_serveurs[Contrôle NIST],B47,Cartographie_non_cyber_serveurs[Émissions totales (kgC02e)])</f>
        <v>0</v>
      </c>
      <c r="S47" s="289" t="str" cm="1">
        <f t="array" ref="S47">_xlfn.CONCAT(
IFERROR(_xlfn.CONCAT(_xlfn._xlws.FILTER(Cartographie_poste_de_travail_non_cyber_ordinateur_portable[Champ d''application],Cartographie_poste_de_travail_non_cyber_ordinateur_portable[Contrôle NIST]=B47)&amp;CHAR(10)),""),
IFERROR(_xlfn.CONCAT(_xlfn._xlws.FILTER(Cartographie_poste_de_travail_non_cyber_ordinateur_de_bureau[Champ d''application],Cartographie_poste_de_travail_non_cyber_ordinateur_de_bureau[Contrôle NIST]=B47)&amp;CHAR(10)),""),
IFERROR(_xlfn.CONCAT(_xlfn._xlws.FILTER(Cartographie_non_cyber_VDI[Champ d''application],Cartographie_non_cyber_VDI[Contrôle NIST]=B47)&amp;CHAR(10)),""),
IFERROR(_xlfn.CONCAT(_xlfn._xlws.FILTER(Cartographie_non_cyber_serveurs[Champ d''application],Cartographie_non_cyber_serveurs[Contrôle NIST]=B47)&amp;CHAR(10)),"")
)</f>
        <v/>
      </c>
    </row>
    <row r="48" spans="1:19" ht="73.5" customHeight="1" x14ac:dyDescent="0.3">
      <c r="A48" s="284" t="s">
        <v>5</v>
      </c>
      <c r="B48" s="285" t="s">
        <v>41</v>
      </c>
      <c r="C48" s="284" t="s">
        <v>485</v>
      </c>
      <c r="D4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1596.0111374999999</v>
      </c>
      <c r="E48" s="287">
        <f>Tableau_de_bord_par_contrôle[[#This Row],[Émissions annuelles totales de CO2e(kgCO2e)]]/(1000*Total)</f>
        <v>2.839835737076289E-4</v>
      </c>
      <c r="F48" s="288">
        <f xml:space="preserve">
SUMIF(Cartographie_des_appareils_poste_de_travail_ordinateur_portable[Contrôle NIST],B48,Cartographie_des_appareils_poste_de_travail_ordinateur_portable[Émissions totales (kgC02e)])
+SUMIF(Cartographie_des_appareils_poste_de_travail_ordinateur_de_bureau[Contrôle NIST],B48,Cartographie_des_appareils_poste_de_travail_ordinateur_de_bureau[Émissions totales (kgC02e)])
+SUMIF(Cartographie_des_appareils_écrans[Contrôle NIST],B48,Cartographie_des_appareils_écrans[Émissions totales (kgC02e)])+SUMIF(Cartographie_des_appareils_Smartphones[Contrôle NIST],B48,Cartographie_des_appareils_Smartphones[Émissions totales (kgC02e)])</f>
        <v>1596.0111374999999</v>
      </c>
      <c r="G48" s="289" t="str" cm="1">
        <f t="array" ref="G48">_xlfn.CONCAT(
IFERROR(_xlfn.CONCAT(_xlfn._xlws.FILTER(Cartographie_des_appareils_poste_de_travail_ordinateur_portable[Champ d''application],Cartographie_des_appareils_poste_de_travail_ordinateur_portable[Contrôle NIST]=B48)&amp;CHAR(10)),""),
IFERROR(_xlfn.CONCAT(_xlfn._xlws.FILTER(#REF!,#REF!=B48)&amp;CHAR(10)),""),
IFERROR(_xlfn.CONCAT(_xlfn._xlws.FILTER(Cartographie_des_appareils_écrans[Champ d''application],Cartographie_des_appareils_écrans[Contrôle NIST]=B48)&amp;CHAR(10)),""),
IFERROR(_xlfn.CONCAT(_xlfn._xlws.FILTER(Cartographie_des_appareils_Smartphones[Champ d''application],Cartographie_des_appareils_Smartphones[Contrôle NIST]=B48)&amp;CHAR(10)),"")
)</f>
        <v xml:space="preserve">Postes de travail utilisés par les contractants Cyber donnés par votre entreprise
</v>
      </c>
      <c r="H48" s="288">
        <f>SUMIF(Cartographie_des_appareils[Contrôle NIST],B48,Cartographie_des_appareils[Émissions totales (kgC02e)])</f>
        <v>0</v>
      </c>
      <c r="I48" s="289" t="str" cm="1">
        <f t="array" ref="I48">IFERROR(_xlfn.CONCAT(_xlfn._xlws.FILTER(Cartographie_des_appareils[Champ d''application],Cartographie_des_appareils[Contrôle NIST]=B48)&amp;CHAR(10)),"")</f>
        <v/>
      </c>
      <c r="J48" s="288">
        <f>SUMIF(Cartographie_des_serveurs_de_sauvegarde[Contrôle NIST],B48,Cartographie_des_serveurs_de_sauvegarde[Émissions totales (kgC02e)])</f>
        <v>0</v>
      </c>
      <c r="K48" s="289" t="str" cm="1">
        <f t="array" ref="K48">_xlfn.CONCAT(
IFERROR(_xlfn.CONCAT(_xlfn._xlws.FILTER(Cartographie_non_cyber_serveurs[Champ d''application],Cartographie_non_cyber_serveurs[Contrôle NIST]=B48)&amp;CHAR(10)),""),
IFERROR(_xlfn.CONCAT(_xlfn._xlws.FILTER(Cartographie_des_serveurs_de_sauvegarde[Champ d''application],Cartographie_des_serveurs_de_sauvegarde[Contrôle NIST]=B48)&amp;CHAR(10)),""),
)</f>
        <v/>
      </c>
      <c r="L48" s="288">
        <f>SUMIF(Cartographie_Solutions_Sur_Site[Contrôle NIST],B48,Cartographie_Solutions_Sur_Site[Émissions totales de carbone du NIST (kgCO2e)])
+SUMIF(Cartographie_Solutions_sur_Cloud[Contrôle NIST],B48,Cartographie_Solutions_sur_Cloud[Émissions totales de carbone du NIST (kgCO2e)])</f>
        <v>0</v>
      </c>
      <c r="M48" s="289" t="str" cm="1">
        <f t="array" ref="M48">_xlfn.CONCAT(
IFERROR(_xlfn.CONCAT(_xlfn._xlws.FILTER(Cartographie_Solutions_Sur_Site[Nom de l''application],#REF!=B48)&amp;CHAR(10)),""),
IFERROR(_xlfn.CONCAT(_xlfn._xlws.FILTER(Cartographie_Solutions_sur_Cloud[Nom de l''application],#REF!=B48)&amp;CHAR(10)),"")
)</f>
        <v/>
      </c>
      <c r="N48" s="288">
        <f>SUMIF(Cartographie_des_TM_externes[Contrôle NIST],B48,Cartographie_des_TM_externes[Émissions de carbone du NIST (kgCO2e)])
+SUMIF(Cartographie_des_externes_prix_fixes[Contrôle NIST],B48,Cartographie_des_externes_prix_fixes[Émissions de carbone du NIST (kgCO2e)])</f>
        <v>0</v>
      </c>
      <c r="O48" s="289" t="str" cm="1">
        <f t="array" ref="O48">_xlfn.CONCAT(
IFERROR(_xlfn.CONCAT(_xlfn._xlws.FILTER(Cartographie_des_TM_externes[Nom du service],#REF!=B48)&amp;CHAR(10)),""),
IFERROR(_xlfn.CONCAT(_xlfn._xlws.FILTER(Cartographie_des_externes_prix_fixes[Nom du service],#REF!=B48)&amp;CHAR(10)),""))</f>
        <v/>
      </c>
      <c r="P48" s="288">
        <f>SUMIF(Cartographie_voyage[Contrôle NIST],B48,Cartographie_voyage[Émissions totales (kgC02e)])</f>
        <v>0</v>
      </c>
      <c r="Q48" s="290" t="str" cm="1">
        <f t="array" ref="Q48">IFERROR(_xlfn.CONCAT(_xlfn._xlws.FILTER(Cartographie_voyage[Type de transport],Cartographie_voyage[Contrôle NIST]=B48)&amp;CHAR(10)),"")</f>
        <v/>
      </c>
      <c r="R48" s="288">
        <f>SUMIF(Cartographie_poste_de_travail_non_cyber_ordinateur_portable[Contrôle NIST],B48,Cartographie_poste_de_travail_non_cyber_ordinateur_portable[Émissions totales (kgC02e)])
+SUMIF(Cartographie_poste_de_travail_non_cyber_ordinateur_de_bureau[Contrôle NIST],B48,Cartographie_poste_de_travail_non_cyber_ordinateur_de_bureau[Émissions totales (kgC02e)])
+SUMIF(Cartographie_non_cyber_VDI[Contrôle NIST],B48,Cartographie_non_cyber_VDI[Émissions totales (kgC02e)])
+SUMIF(Cartographie_non_cyber_serveurs[Contrôle NIST],B48,Cartographie_non_cyber_serveurs[Émissions totales (kgC02e)])</f>
        <v>0</v>
      </c>
      <c r="S48" s="289" t="str" cm="1">
        <f t="array" ref="S48">_xlfn.CONCAT(
IFERROR(_xlfn.CONCAT(_xlfn._xlws.FILTER(Cartographie_poste_de_travail_non_cyber_ordinateur_portable[Champ d''application],Cartographie_poste_de_travail_non_cyber_ordinateur_portable[Contrôle NIST]=B48)&amp;CHAR(10)),""),
IFERROR(_xlfn.CONCAT(_xlfn._xlws.FILTER(Cartographie_poste_de_travail_non_cyber_ordinateur_de_bureau[Champ d''application],Cartographie_poste_de_travail_non_cyber_ordinateur_de_bureau[Contrôle NIST]=B48)&amp;CHAR(10)),""),
IFERROR(_xlfn.CONCAT(_xlfn._xlws.FILTER(Cartographie_non_cyber_VDI[Champ d''application],Cartographie_non_cyber_VDI[Contrôle NIST]=B48)&amp;CHAR(10)),""),
IFERROR(_xlfn.CONCAT(_xlfn._xlws.FILTER(Cartographie_non_cyber_serveurs[Champ d''application],Cartographie_non_cyber_serveurs[Contrôle NIST]=B48)&amp;CHAR(10)),"")
)</f>
        <v/>
      </c>
    </row>
    <row r="49" spans="1:19" ht="73.5" customHeight="1" x14ac:dyDescent="0.3">
      <c r="A49" s="284" t="s">
        <v>5</v>
      </c>
      <c r="B49" s="285" t="s">
        <v>42</v>
      </c>
      <c r="C49" s="284" t="s">
        <v>486</v>
      </c>
      <c r="D4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49" s="287">
        <f>Tableau_de_bord_par_contrôle[[#This Row],[Émissions annuelles totales de CO2e(kgCO2e)]]/(1000*Total)</f>
        <v>0</v>
      </c>
      <c r="F49" s="288">
        <f xml:space="preserve">
SUMIF(Cartographie_des_appareils_poste_de_travail_ordinateur_portable[Contrôle NIST],B49,Cartographie_des_appareils_poste_de_travail_ordinateur_portable[Émissions totales (kgC02e)])
+SUMIF(Cartographie_des_appareils_poste_de_travail_ordinateur_de_bureau[Contrôle NIST],B49,Cartographie_des_appareils_poste_de_travail_ordinateur_de_bureau[Émissions totales (kgC02e)])
+SUMIF(Cartographie_des_appareils_écrans[Contrôle NIST],B49,Cartographie_des_appareils_écrans[Émissions totales (kgC02e)])+SUMIF(Cartographie_des_appareils_Smartphones[Contrôle NIST],B49,Cartographie_des_appareils_Smartphones[Émissions totales (kgC02e)])</f>
        <v>0</v>
      </c>
      <c r="G49" s="289" t="str" cm="1">
        <f t="array" ref="G49">_xlfn.CONCAT(
IFERROR(_xlfn.CONCAT(_xlfn._xlws.FILTER(Cartographie_des_appareils_poste_de_travail_ordinateur_portable[Champ d''application],Cartographie_des_appareils_poste_de_travail_ordinateur_portable[Contrôle NIST]=B49)&amp;CHAR(10)),""),
IFERROR(_xlfn.CONCAT(_xlfn._xlws.FILTER(#REF!,#REF!=B49)&amp;CHAR(10)),""),
IFERROR(_xlfn.CONCAT(_xlfn._xlws.FILTER(Cartographie_des_appareils_écrans[Champ d''application],Cartographie_des_appareils_écrans[Contrôle NIST]=B49)&amp;CHAR(10)),""),
IFERROR(_xlfn.CONCAT(_xlfn._xlws.FILTER(Cartographie_des_appareils_Smartphones[Champ d''application],Cartographie_des_appareils_Smartphones[Contrôle NIST]=B49)&amp;CHAR(10)),"")
)</f>
        <v/>
      </c>
      <c r="H49" s="288">
        <f>SUMIF(Cartographie_des_appareils[Contrôle NIST],B49,Cartographie_des_appareils[Émissions totales (kgC02e)])</f>
        <v>0</v>
      </c>
      <c r="I49" s="289" t="str" cm="1">
        <f t="array" ref="I49">IFERROR(_xlfn.CONCAT(_xlfn._xlws.FILTER(Cartographie_des_appareils[Champ d''application],Cartographie_des_appareils[Contrôle NIST]=B49)&amp;CHAR(10)),"")</f>
        <v/>
      </c>
      <c r="J49" s="288">
        <f>SUMIF(Cartographie_des_serveurs_de_sauvegarde[Contrôle NIST],B49,Cartographie_des_serveurs_de_sauvegarde[Émissions totales (kgC02e)])</f>
        <v>0</v>
      </c>
      <c r="K49" s="289" t="str" cm="1">
        <f t="array" ref="K49">_xlfn.CONCAT(
IFERROR(_xlfn.CONCAT(_xlfn._xlws.FILTER(Cartographie_non_cyber_serveurs[Champ d''application],Cartographie_non_cyber_serveurs[Contrôle NIST]=B49)&amp;CHAR(10)),""),
IFERROR(_xlfn.CONCAT(_xlfn._xlws.FILTER(Cartographie_des_serveurs_de_sauvegarde[Champ d''application],Cartographie_des_serveurs_de_sauvegarde[Contrôle NIST]=B49)&amp;CHAR(10)),""),
)</f>
        <v/>
      </c>
      <c r="L49" s="288">
        <f>SUMIF(Cartographie_Solutions_Sur_Site[Contrôle NIST],B49,Cartographie_Solutions_Sur_Site[Émissions totales de carbone du NIST (kgCO2e)])
+SUMIF(Cartographie_Solutions_sur_Cloud[Contrôle NIST],B49,Cartographie_Solutions_sur_Cloud[Émissions totales de carbone du NIST (kgCO2e)])</f>
        <v>0</v>
      </c>
      <c r="M49" s="289" t="str" cm="1">
        <f t="array" ref="M49">_xlfn.CONCAT(
IFERROR(_xlfn.CONCAT(_xlfn._xlws.FILTER(Cartographie_Solutions_Sur_Site[Nom de l''application],#REF!=B49)&amp;CHAR(10)),""),
IFERROR(_xlfn.CONCAT(_xlfn._xlws.FILTER(Cartographie_Solutions_sur_Cloud[Nom de l''application],#REF!=B49)&amp;CHAR(10)),"")
)</f>
        <v/>
      </c>
      <c r="N49" s="288">
        <f>SUMIF(Cartographie_des_TM_externes[Contrôle NIST],B49,Cartographie_des_TM_externes[Émissions de carbone du NIST (kgCO2e)])
+SUMIF(Cartographie_des_externes_prix_fixes[Contrôle NIST],B49,Cartographie_des_externes_prix_fixes[Émissions de carbone du NIST (kgCO2e)])</f>
        <v>0</v>
      </c>
      <c r="O49" s="289" t="str" cm="1">
        <f t="array" ref="O49">_xlfn.CONCAT(
IFERROR(_xlfn.CONCAT(_xlfn._xlws.FILTER(Cartographie_des_TM_externes[Nom du service],#REF!=B49)&amp;CHAR(10)),""),
IFERROR(_xlfn.CONCAT(_xlfn._xlws.FILTER(Cartographie_des_externes_prix_fixes[Nom du service],#REF!=B49)&amp;CHAR(10)),""))</f>
        <v/>
      </c>
      <c r="P49" s="288">
        <f>SUMIF(Cartographie_voyage[Contrôle NIST],B49,Cartographie_voyage[Émissions totales (kgC02e)])</f>
        <v>0</v>
      </c>
      <c r="Q49" s="290" t="str" cm="1">
        <f t="array" ref="Q49">IFERROR(_xlfn.CONCAT(_xlfn._xlws.FILTER(Cartographie_voyage[Type de transport],Cartographie_voyage[Contrôle NIST]=B49)&amp;CHAR(10)),"")</f>
        <v/>
      </c>
      <c r="R49" s="288">
        <f>SUMIF(Cartographie_poste_de_travail_non_cyber_ordinateur_portable[Contrôle NIST],B49,Cartographie_poste_de_travail_non_cyber_ordinateur_portable[Émissions totales (kgC02e)])
+SUMIF(Cartographie_poste_de_travail_non_cyber_ordinateur_de_bureau[Contrôle NIST],B49,Cartographie_poste_de_travail_non_cyber_ordinateur_de_bureau[Émissions totales (kgC02e)])
+SUMIF(Cartographie_non_cyber_VDI[Contrôle NIST],B49,Cartographie_non_cyber_VDI[Émissions totales (kgC02e)])
+SUMIF(Cartographie_non_cyber_serveurs[Contrôle NIST],B49,Cartographie_non_cyber_serveurs[Émissions totales (kgC02e)])</f>
        <v>0</v>
      </c>
      <c r="S49" s="289" t="str" cm="1">
        <f t="array" ref="S49">_xlfn.CONCAT(
IFERROR(_xlfn.CONCAT(_xlfn._xlws.FILTER(Cartographie_poste_de_travail_non_cyber_ordinateur_portable[Champ d''application],Cartographie_poste_de_travail_non_cyber_ordinateur_portable[Contrôle NIST]=B49)&amp;CHAR(10)),""),
IFERROR(_xlfn.CONCAT(_xlfn._xlws.FILTER(Cartographie_poste_de_travail_non_cyber_ordinateur_de_bureau[Champ d''application],Cartographie_poste_de_travail_non_cyber_ordinateur_de_bureau[Contrôle NIST]=B49)&amp;CHAR(10)),""),
IFERROR(_xlfn.CONCAT(_xlfn._xlws.FILTER(Cartographie_non_cyber_VDI[Champ d''application],Cartographie_non_cyber_VDI[Contrôle NIST]=B49)&amp;CHAR(10)),""),
IFERROR(_xlfn.CONCAT(_xlfn._xlws.FILTER(Cartographie_non_cyber_serveurs[Champ d''application],Cartographie_non_cyber_serveurs[Contrôle NIST]=B49)&amp;CHAR(10)),"")
)</f>
        <v xml:space="preserve">VDIs utilisés par les employés (cyber et non cyber)
</v>
      </c>
    </row>
    <row r="50" spans="1:19" ht="73.5" customHeight="1" x14ac:dyDescent="0.3">
      <c r="A50" s="284" t="s">
        <v>5</v>
      </c>
      <c r="B50" s="285" t="s">
        <v>43</v>
      </c>
      <c r="C50" s="284" t="s">
        <v>487</v>
      </c>
      <c r="D5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0" s="287">
        <f>Tableau_de_bord_par_contrôle[[#This Row],[Émissions annuelles totales de CO2e(kgCO2e)]]/(1000*Total)</f>
        <v>0</v>
      </c>
      <c r="F50" s="288">
        <f xml:space="preserve">
SUMIF(Cartographie_des_appareils_poste_de_travail_ordinateur_portable[Contrôle NIST],B50,Cartographie_des_appareils_poste_de_travail_ordinateur_portable[Émissions totales (kgC02e)])
+SUMIF(Cartographie_des_appareils_poste_de_travail_ordinateur_de_bureau[Contrôle NIST],B50,Cartographie_des_appareils_poste_de_travail_ordinateur_de_bureau[Émissions totales (kgC02e)])
+SUMIF(Cartographie_des_appareils_écrans[Contrôle NIST],B50,Cartographie_des_appareils_écrans[Émissions totales (kgC02e)])+SUMIF(Cartographie_des_appareils_Smartphones[Contrôle NIST],B50,Cartographie_des_appareils_Smartphones[Émissions totales (kgC02e)])</f>
        <v>0</v>
      </c>
      <c r="G50" s="289" t="str" cm="1">
        <f t="array" ref="G50">_xlfn.CONCAT(
IFERROR(_xlfn.CONCAT(_xlfn._xlws.FILTER(Cartographie_des_appareils_poste_de_travail_ordinateur_portable[Champ d''application],Cartographie_des_appareils_poste_de_travail_ordinateur_portable[Contrôle NIST]=B50)&amp;CHAR(10)),""),
IFERROR(_xlfn.CONCAT(_xlfn._xlws.FILTER(#REF!,#REF!=B50)&amp;CHAR(10)),""),
IFERROR(_xlfn.CONCAT(_xlfn._xlws.FILTER(Cartographie_des_appareils_écrans[Champ d''application],Cartographie_des_appareils_écrans[Contrôle NIST]=B50)&amp;CHAR(10)),""),
IFERROR(_xlfn.CONCAT(_xlfn._xlws.FILTER(Cartographie_des_appareils_Smartphones[Champ d''application],Cartographie_des_appareils_Smartphones[Contrôle NIST]=B50)&amp;CHAR(10)),"")
)</f>
        <v/>
      </c>
      <c r="H50" s="288">
        <f>SUMIF(Cartographie_des_appareils[Contrôle NIST],B50,Cartographie_des_appareils[Émissions totales (kgC02e)])</f>
        <v>0</v>
      </c>
      <c r="I50" s="289" t="str" cm="1">
        <f t="array" ref="I50">IFERROR(_xlfn.CONCAT(_xlfn._xlws.FILTER(Cartographie_des_appareils[Champ d''application],Cartographie_des_appareils[Contrôle NIST]=B50)&amp;CHAR(10)),"")</f>
        <v/>
      </c>
      <c r="J50" s="288">
        <f>SUMIF(Cartographie_des_serveurs_de_sauvegarde[Contrôle NIST],B50,Cartographie_des_serveurs_de_sauvegarde[Émissions totales (kgC02e)])</f>
        <v>0</v>
      </c>
      <c r="K50" s="289" t="str" cm="1">
        <f t="array" ref="K50">_xlfn.CONCAT(
IFERROR(_xlfn.CONCAT(_xlfn._xlws.FILTER(Cartographie_non_cyber_serveurs[Champ d''application],Cartographie_non_cyber_serveurs[Contrôle NIST]=B50)&amp;CHAR(10)),""),
IFERROR(_xlfn.CONCAT(_xlfn._xlws.FILTER(Cartographie_des_serveurs_de_sauvegarde[Champ d''application],Cartographie_des_serveurs_de_sauvegarde[Contrôle NIST]=B50)&amp;CHAR(10)),""),
)</f>
        <v/>
      </c>
      <c r="L50" s="288">
        <f>SUMIF(Cartographie_Solutions_Sur_Site[Contrôle NIST],B50,Cartographie_Solutions_Sur_Site[Émissions totales de carbone du NIST (kgCO2e)])
+SUMIF(Cartographie_Solutions_sur_Cloud[Contrôle NIST],B50,Cartographie_Solutions_sur_Cloud[Émissions totales de carbone du NIST (kgCO2e)])</f>
        <v>0</v>
      </c>
      <c r="M50" s="289" t="str" cm="1">
        <f t="array" ref="M50">_xlfn.CONCAT(
IFERROR(_xlfn.CONCAT(_xlfn._xlws.FILTER(Cartographie_Solutions_Sur_Site[Nom de l''application],#REF!=B50)&amp;CHAR(10)),""),
IFERROR(_xlfn.CONCAT(_xlfn._xlws.FILTER(Cartographie_Solutions_sur_Cloud[Nom de l''application],#REF!=B50)&amp;CHAR(10)),"")
)</f>
        <v/>
      </c>
      <c r="N50" s="288">
        <f>SUMIF(Cartographie_des_TM_externes[Contrôle NIST],B50,Cartographie_des_TM_externes[Émissions de carbone du NIST (kgCO2e)])
+SUMIF(Cartographie_des_externes_prix_fixes[Contrôle NIST],B50,Cartographie_des_externes_prix_fixes[Émissions de carbone du NIST (kgCO2e)])</f>
        <v>0</v>
      </c>
      <c r="O50" s="289" t="str" cm="1">
        <f t="array" ref="O50">_xlfn.CONCAT(
IFERROR(_xlfn.CONCAT(_xlfn._xlws.FILTER(Cartographie_des_TM_externes[Nom du service],#REF!=B50)&amp;CHAR(10)),""),
IFERROR(_xlfn.CONCAT(_xlfn._xlws.FILTER(Cartographie_des_externes_prix_fixes[Nom du service],#REF!=B50)&amp;CHAR(10)),""))</f>
        <v/>
      </c>
      <c r="P50" s="288">
        <f>SUMIF(Cartographie_voyage[Contrôle NIST],B50,Cartographie_voyage[Émissions totales (kgC02e)])</f>
        <v>0</v>
      </c>
      <c r="Q50" s="290" t="str" cm="1">
        <f t="array" ref="Q50">IFERROR(_xlfn.CONCAT(_xlfn._xlws.FILTER(Cartographie_voyage[Type de transport],Cartographie_voyage[Contrôle NIST]=B50)&amp;CHAR(10)),"")</f>
        <v/>
      </c>
      <c r="R50" s="288">
        <f>SUMIF(Cartographie_poste_de_travail_non_cyber_ordinateur_portable[Contrôle NIST],B50,Cartographie_poste_de_travail_non_cyber_ordinateur_portable[Émissions totales (kgC02e)])
+SUMIF(Cartographie_poste_de_travail_non_cyber_ordinateur_de_bureau[Contrôle NIST],B50,Cartographie_poste_de_travail_non_cyber_ordinateur_de_bureau[Émissions totales (kgC02e)])
+SUMIF(Cartographie_non_cyber_VDI[Contrôle NIST],B50,Cartographie_non_cyber_VDI[Émissions totales (kgC02e)])
+SUMIF(Cartographie_non_cyber_serveurs[Contrôle NIST],B50,Cartographie_non_cyber_serveurs[Émissions totales (kgC02e)])</f>
        <v>0</v>
      </c>
      <c r="S50" s="289" t="str" cm="1">
        <f t="array" ref="S50">_xlfn.CONCAT(
IFERROR(_xlfn.CONCAT(_xlfn._xlws.FILTER(Cartographie_poste_de_travail_non_cyber_ordinateur_portable[Champ d''application],Cartographie_poste_de_travail_non_cyber_ordinateur_portable[Contrôle NIST]=B50)&amp;CHAR(10)),""),
IFERROR(_xlfn.CONCAT(_xlfn._xlws.FILTER(Cartographie_poste_de_travail_non_cyber_ordinateur_de_bureau[Champ d''application],Cartographie_poste_de_travail_non_cyber_ordinateur_de_bureau[Contrôle NIST]=B50)&amp;CHAR(10)),""),
IFERROR(_xlfn.CONCAT(_xlfn._xlws.FILTER(Cartographie_non_cyber_VDI[Champ d''application],Cartographie_non_cyber_VDI[Contrôle NIST]=B50)&amp;CHAR(10)),""),
IFERROR(_xlfn.CONCAT(_xlfn._xlws.FILTER(Cartographie_non_cyber_serveurs[Champ d''application],Cartographie_non_cyber_serveurs[Contrôle NIST]=B50)&amp;CHAR(10)),"")
)</f>
        <v/>
      </c>
    </row>
    <row r="51" spans="1:19" ht="73.5" customHeight="1" x14ac:dyDescent="0.3">
      <c r="A51" s="284" t="s">
        <v>5</v>
      </c>
      <c r="B51" s="285" t="s">
        <v>44</v>
      </c>
      <c r="C51" s="284" t="s">
        <v>488</v>
      </c>
      <c r="D5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1" s="287">
        <f>Tableau_de_bord_par_contrôle[[#This Row],[Émissions annuelles totales de CO2e(kgCO2e)]]/(1000*Total)</f>
        <v>0</v>
      </c>
      <c r="F51" s="288">
        <f xml:space="preserve">
SUMIF(Cartographie_des_appareils_poste_de_travail_ordinateur_portable[Contrôle NIST],B51,Cartographie_des_appareils_poste_de_travail_ordinateur_portable[Émissions totales (kgC02e)])
+SUMIF(Cartographie_des_appareils_poste_de_travail_ordinateur_de_bureau[Contrôle NIST],B51,Cartographie_des_appareils_poste_de_travail_ordinateur_de_bureau[Émissions totales (kgC02e)])
+SUMIF(Cartographie_des_appareils_écrans[Contrôle NIST],B51,Cartographie_des_appareils_écrans[Émissions totales (kgC02e)])+SUMIF(Cartographie_des_appareils_Smartphones[Contrôle NIST],B51,Cartographie_des_appareils_Smartphones[Émissions totales (kgC02e)])</f>
        <v>0</v>
      </c>
      <c r="G51" s="289" t="str" cm="1">
        <f t="array" ref="G51">_xlfn.CONCAT(
IFERROR(_xlfn.CONCAT(_xlfn._xlws.FILTER(Cartographie_des_appareils_poste_de_travail_ordinateur_portable[Champ d''application],Cartographie_des_appareils_poste_de_travail_ordinateur_portable[Contrôle NIST]=B51)&amp;CHAR(10)),""),
IFERROR(_xlfn.CONCAT(_xlfn._xlws.FILTER(#REF!,#REF!=B51)&amp;CHAR(10)),""),
IFERROR(_xlfn.CONCAT(_xlfn._xlws.FILTER(Cartographie_des_appareils_écrans[Champ d''application],Cartographie_des_appareils_écrans[Contrôle NIST]=B51)&amp;CHAR(10)),""),
IFERROR(_xlfn.CONCAT(_xlfn._xlws.FILTER(Cartographie_des_appareils_Smartphones[Champ d''application],Cartographie_des_appareils_Smartphones[Contrôle NIST]=B51)&amp;CHAR(10)),"")
)</f>
        <v/>
      </c>
      <c r="H51" s="288">
        <f>SUMIF(Cartographie_des_appareils[Contrôle NIST],B51,Cartographie_des_appareils[Émissions totales (kgC02e)])</f>
        <v>0</v>
      </c>
      <c r="I51" s="289" t="str" cm="1">
        <f t="array" ref="I51">IFERROR(_xlfn.CONCAT(_xlfn._xlws.FILTER(Cartographie_des_appareils[Champ d''application],Cartographie_des_appareils[Contrôle NIST]=B51)&amp;CHAR(10)),"")</f>
        <v/>
      </c>
      <c r="J51" s="288">
        <f>SUMIF(Cartographie_des_serveurs_de_sauvegarde[Contrôle NIST],B51,Cartographie_des_serveurs_de_sauvegarde[Émissions totales (kgC02e)])</f>
        <v>0</v>
      </c>
      <c r="K51" s="289" t="str" cm="1">
        <f t="array" ref="K51">_xlfn.CONCAT(
IFERROR(_xlfn.CONCAT(_xlfn._xlws.FILTER(Cartographie_non_cyber_serveurs[Champ d''application],Cartographie_non_cyber_serveurs[Contrôle NIST]=B51)&amp;CHAR(10)),""),
IFERROR(_xlfn.CONCAT(_xlfn._xlws.FILTER(Cartographie_des_serveurs_de_sauvegarde[Champ d''application],Cartographie_des_serveurs_de_sauvegarde[Contrôle NIST]=B51)&amp;CHAR(10)),""),
)</f>
        <v/>
      </c>
      <c r="L51" s="288">
        <f>SUMIF(Cartographie_Solutions_Sur_Site[Contrôle NIST],B51,Cartographie_Solutions_Sur_Site[Émissions totales de carbone du NIST (kgCO2e)])
+SUMIF(Cartographie_Solutions_sur_Cloud[Contrôle NIST],B51,Cartographie_Solutions_sur_Cloud[Émissions totales de carbone du NIST (kgCO2e)])</f>
        <v>0</v>
      </c>
      <c r="M51" s="289" t="str" cm="1">
        <f t="array" ref="M51">_xlfn.CONCAT(
IFERROR(_xlfn.CONCAT(_xlfn._xlws.FILTER(Cartographie_Solutions_Sur_Site[Nom de l''application],#REF!=B51)&amp;CHAR(10)),""),
IFERROR(_xlfn.CONCAT(_xlfn._xlws.FILTER(Cartographie_Solutions_sur_Cloud[Nom de l''application],#REF!=B51)&amp;CHAR(10)),"")
)</f>
        <v/>
      </c>
      <c r="N51" s="288">
        <f>SUMIF(Cartographie_des_TM_externes[Contrôle NIST],B51,Cartographie_des_TM_externes[Émissions de carbone du NIST (kgCO2e)])
+SUMIF(Cartographie_des_externes_prix_fixes[Contrôle NIST],B51,Cartographie_des_externes_prix_fixes[Émissions de carbone du NIST (kgCO2e)])</f>
        <v>0</v>
      </c>
      <c r="O51" s="289" t="str" cm="1">
        <f t="array" ref="O51">_xlfn.CONCAT(
IFERROR(_xlfn.CONCAT(_xlfn._xlws.FILTER(Cartographie_des_TM_externes[Nom du service],#REF!=B51)&amp;CHAR(10)),""),
IFERROR(_xlfn.CONCAT(_xlfn._xlws.FILTER(Cartographie_des_externes_prix_fixes[Nom du service],#REF!=B51)&amp;CHAR(10)),""))</f>
        <v/>
      </c>
      <c r="P51" s="288">
        <f>SUMIF(Cartographie_voyage[Contrôle NIST],B51,Cartographie_voyage[Émissions totales (kgC02e)])</f>
        <v>0</v>
      </c>
      <c r="Q51" s="290" t="str" cm="1">
        <f t="array" ref="Q51">IFERROR(_xlfn.CONCAT(_xlfn._xlws.FILTER(Cartographie_voyage[Type de transport],Cartographie_voyage[Contrôle NIST]=B51)&amp;CHAR(10)),"")</f>
        <v/>
      </c>
      <c r="R51" s="288">
        <f>SUMIF(Cartographie_poste_de_travail_non_cyber_ordinateur_portable[Contrôle NIST],B51,Cartographie_poste_de_travail_non_cyber_ordinateur_portable[Émissions totales (kgC02e)])
+SUMIF(Cartographie_poste_de_travail_non_cyber_ordinateur_de_bureau[Contrôle NIST],B51,Cartographie_poste_de_travail_non_cyber_ordinateur_de_bureau[Émissions totales (kgC02e)])
+SUMIF(Cartographie_non_cyber_VDI[Contrôle NIST],B51,Cartographie_non_cyber_VDI[Émissions totales (kgC02e)])
+SUMIF(Cartographie_non_cyber_serveurs[Contrôle NIST],B51,Cartographie_non_cyber_serveurs[Émissions totales (kgC02e)])</f>
        <v>0</v>
      </c>
      <c r="S51" s="289" t="str" cm="1">
        <f t="array" ref="S51">_xlfn.CONCAT(
IFERROR(_xlfn.CONCAT(_xlfn._xlws.FILTER(Cartographie_poste_de_travail_non_cyber_ordinateur_portable[Champ d''application],Cartographie_poste_de_travail_non_cyber_ordinateur_portable[Contrôle NIST]=B51)&amp;CHAR(10)),""),
IFERROR(_xlfn.CONCAT(_xlfn._xlws.FILTER(Cartographie_poste_de_travail_non_cyber_ordinateur_de_bureau[Champ d''application],Cartographie_poste_de_travail_non_cyber_ordinateur_de_bureau[Contrôle NIST]=B51)&amp;CHAR(10)),""),
IFERROR(_xlfn.CONCAT(_xlfn._xlws.FILTER(Cartographie_non_cyber_VDI[Champ d''application],Cartographie_non_cyber_VDI[Contrôle NIST]=B51)&amp;CHAR(10)),""),
IFERROR(_xlfn.CONCAT(_xlfn._xlws.FILTER(Cartographie_non_cyber_serveurs[Champ d''application],Cartographie_non_cyber_serveurs[Contrôle NIST]=B51)&amp;CHAR(10)),"")
)</f>
        <v/>
      </c>
    </row>
    <row r="52" spans="1:19" ht="73.5" customHeight="1" x14ac:dyDescent="0.3">
      <c r="A52" s="284" t="s">
        <v>5</v>
      </c>
      <c r="B52" s="285" t="s">
        <v>45</v>
      </c>
      <c r="C52" s="284" t="s">
        <v>489</v>
      </c>
      <c r="D5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2" s="287">
        <f>Tableau_de_bord_par_contrôle[[#This Row],[Émissions annuelles totales de CO2e(kgCO2e)]]/(1000*Total)</f>
        <v>0</v>
      </c>
      <c r="F52" s="288">
        <f xml:space="preserve">
SUMIF(Cartographie_des_appareils_poste_de_travail_ordinateur_portable[Contrôle NIST],B52,Cartographie_des_appareils_poste_de_travail_ordinateur_portable[Émissions totales (kgC02e)])
+SUMIF(Cartographie_des_appareils_poste_de_travail_ordinateur_de_bureau[Contrôle NIST],B52,Cartographie_des_appareils_poste_de_travail_ordinateur_de_bureau[Émissions totales (kgC02e)])
+SUMIF(Cartographie_des_appareils_écrans[Contrôle NIST],B52,Cartographie_des_appareils_écrans[Émissions totales (kgC02e)])+SUMIF(Cartographie_des_appareils_Smartphones[Contrôle NIST],B52,Cartographie_des_appareils_Smartphones[Émissions totales (kgC02e)])</f>
        <v>0</v>
      </c>
      <c r="G52" s="289" t="str" cm="1">
        <f t="array" ref="G52">_xlfn.CONCAT(
IFERROR(_xlfn.CONCAT(_xlfn._xlws.FILTER(Cartographie_des_appareils_poste_de_travail_ordinateur_portable[Champ d''application],Cartographie_des_appareils_poste_de_travail_ordinateur_portable[Contrôle NIST]=B52)&amp;CHAR(10)),""),
IFERROR(_xlfn.CONCAT(_xlfn._xlws.FILTER(#REF!,#REF!=B52)&amp;CHAR(10)),""),
IFERROR(_xlfn.CONCAT(_xlfn._xlws.FILTER(Cartographie_des_appareils_écrans[Champ d''application],Cartographie_des_appareils_écrans[Contrôle NIST]=B52)&amp;CHAR(10)),""),
IFERROR(_xlfn.CONCAT(_xlfn._xlws.FILTER(Cartographie_des_appareils_Smartphones[Champ d''application],Cartographie_des_appareils_Smartphones[Contrôle NIST]=B52)&amp;CHAR(10)),"")
)</f>
        <v/>
      </c>
      <c r="H52" s="288">
        <f>SUMIF(Cartographie_des_appareils[Contrôle NIST],B52,Cartographie_des_appareils[Émissions totales (kgC02e)])</f>
        <v>0</v>
      </c>
      <c r="I52" s="289" t="str" cm="1">
        <f t="array" ref="I52">IFERROR(_xlfn.CONCAT(_xlfn._xlws.FILTER(Cartographie_des_appareils[Champ d''application],Cartographie_des_appareils[Contrôle NIST]=B52)&amp;CHAR(10)),"")</f>
        <v/>
      </c>
      <c r="J52" s="288">
        <f>SUMIF(Cartographie_des_serveurs_de_sauvegarde[Contrôle NIST],B52,Cartographie_des_serveurs_de_sauvegarde[Émissions totales (kgC02e)])</f>
        <v>0</v>
      </c>
      <c r="K52" s="289" t="str" cm="1">
        <f t="array" ref="K52">_xlfn.CONCAT(
IFERROR(_xlfn.CONCAT(_xlfn._xlws.FILTER(Cartographie_non_cyber_serveurs[Champ d''application],Cartographie_non_cyber_serveurs[Contrôle NIST]=B52)&amp;CHAR(10)),""),
IFERROR(_xlfn.CONCAT(_xlfn._xlws.FILTER(Cartographie_des_serveurs_de_sauvegarde[Champ d''application],Cartographie_des_serveurs_de_sauvegarde[Contrôle NIST]=B52)&amp;CHAR(10)),""),
)</f>
        <v/>
      </c>
      <c r="L52" s="288">
        <f>SUMIF(Cartographie_Solutions_Sur_Site[Contrôle NIST],B52,Cartographie_Solutions_Sur_Site[Émissions totales de carbone du NIST (kgCO2e)])
+SUMIF(Cartographie_Solutions_sur_Cloud[Contrôle NIST],B52,Cartographie_Solutions_sur_Cloud[Émissions totales de carbone du NIST (kgCO2e)])</f>
        <v>0</v>
      </c>
      <c r="M52" s="289" t="str" cm="1">
        <f t="array" ref="M52">_xlfn.CONCAT(
IFERROR(_xlfn.CONCAT(_xlfn._xlws.FILTER(Cartographie_Solutions_Sur_Site[Nom de l''application],#REF!=B52)&amp;CHAR(10)),""),
IFERROR(_xlfn.CONCAT(_xlfn._xlws.FILTER(Cartographie_Solutions_sur_Cloud[Nom de l''application],#REF!=B52)&amp;CHAR(10)),"")
)</f>
        <v/>
      </c>
      <c r="N52" s="288">
        <f>SUMIF(Cartographie_des_TM_externes[Contrôle NIST],B52,Cartographie_des_TM_externes[Émissions de carbone du NIST (kgCO2e)])
+SUMIF(Cartographie_des_externes_prix_fixes[Contrôle NIST],B52,Cartographie_des_externes_prix_fixes[Émissions de carbone du NIST (kgCO2e)])</f>
        <v>0</v>
      </c>
      <c r="O52" s="289" t="str" cm="1">
        <f t="array" ref="O52">_xlfn.CONCAT(
IFERROR(_xlfn.CONCAT(_xlfn._xlws.FILTER(Cartographie_des_TM_externes[Nom du service],#REF!=B52)&amp;CHAR(10)),""),
IFERROR(_xlfn.CONCAT(_xlfn._xlws.FILTER(Cartographie_des_externes_prix_fixes[Nom du service],#REF!=B52)&amp;CHAR(10)),""))</f>
        <v/>
      </c>
      <c r="P52" s="288">
        <f>SUMIF(Cartographie_voyage[Contrôle NIST],B52,Cartographie_voyage[Émissions totales (kgC02e)])</f>
        <v>0</v>
      </c>
      <c r="Q52" s="290" t="str" cm="1">
        <f t="array" ref="Q52">IFERROR(_xlfn.CONCAT(_xlfn._xlws.FILTER(Cartographie_voyage[Type de transport],Cartographie_voyage[Contrôle NIST]=B52)&amp;CHAR(10)),"")</f>
        <v/>
      </c>
      <c r="R52" s="288">
        <f>SUMIF(Cartographie_poste_de_travail_non_cyber_ordinateur_portable[Contrôle NIST],B52,Cartographie_poste_de_travail_non_cyber_ordinateur_portable[Émissions totales (kgC02e)])
+SUMIF(Cartographie_poste_de_travail_non_cyber_ordinateur_de_bureau[Contrôle NIST],B52,Cartographie_poste_de_travail_non_cyber_ordinateur_de_bureau[Émissions totales (kgC02e)])
+SUMIF(Cartographie_non_cyber_VDI[Contrôle NIST],B52,Cartographie_non_cyber_VDI[Émissions totales (kgC02e)])
+SUMIF(Cartographie_non_cyber_serveurs[Contrôle NIST],B52,Cartographie_non_cyber_serveurs[Émissions totales (kgC02e)])</f>
        <v>0</v>
      </c>
      <c r="S52" s="289" t="str" cm="1">
        <f t="array" ref="S52">_xlfn.CONCAT(
IFERROR(_xlfn.CONCAT(_xlfn._xlws.FILTER(Cartographie_poste_de_travail_non_cyber_ordinateur_portable[Champ d''application],Cartographie_poste_de_travail_non_cyber_ordinateur_portable[Contrôle NIST]=B52)&amp;CHAR(10)),""),
IFERROR(_xlfn.CONCAT(_xlfn._xlws.FILTER(Cartographie_poste_de_travail_non_cyber_ordinateur_de_bureau[Champ d''application],Cartographie_poste_de_travail_non_cyber_ordinateur_de_bureau[Contrôle NIST]=B52)&amp;CHAR(10)),""),
IFERROR(_xlfn.CONCAT(_xlfn._xlws.FILTER(Cartographie_non_cyber_VDI[Champ d''application],Cartographie_non_cyber_VDI[Contrôle NIST]=B52)&amp;CHAR(10)),""),
IFERROR(_xlfn.CONCAT(_xlfn._xlws.FILTER(Cartographie_non_cyber_serveurs[Champ d''application],Cartographie_non_cyber_serveurs[Contrôle NIST]=B52)&amp;CHAR(10)),"")
)</f>
        <v/>
      </c>
    </row>
    <row r="53" spans="1:19" ht="73.5" customHeight="1" x14ac:dyDescent="0.3">
      <c r="A53" s="284" t="s">
        <v>5</v>
      </c>
      <c r="B53" s="285" t="s">
        <v>46</v>
      </c>
      <c r="C53" s="284" t="s">
        <v>490</v>
      </c>
      <c r="D5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610.33191900000008</v>
      </c>
      <c r="E53" s="287">
        <f>Tableau_de_bord_par_contrôle[[#This Row],[Émissions annuelles totales de CO2e(kgCO2e)]]/(1000*Total)</f>
        <v>1.0859838971860253E-4</v>
      </c>
      <c r="F53" s="288">
        <f xml:space="preserve">
SUMIF(Cartographie_des_appareils_poste_de_travail_ordinateur_portable[Contrôle NIST],B53,Cartographie_des_appareils_poste_de_travail_ordinateur_portable[Émissions totales (kgC02e)])
+SUMIF(Cartographie_des_appareils_poste_de_travail_ordinateur_de_bureau[Contrôle NIST],B53,Cartographie_des_appareils_poste_de_travail_ordinateur_de_bureau[Émissions totales (kgC02e)])
+SUMIF(Cartographie_des_appareils_écrans[Contrôle NIST],B53,Cartographie_des_appareils_écrans[Émissions totales (kgC02e)])+SUMIF(Cartographie_des_appareils_Smartphones[Contrôle NIST],B53,Cartographie_des_appareils_Smartphones[Émissions totales (kgC02e)])</f>
        <v>0</v>
      </c>
      <c r="G53" s="289" t="str" cm="1">
        <f t="array" ref="G53">_xlfn.CONCAT(
IFERROR(_xlfn.CONCAT(_xlfn._xlws.FILTER(Cartographie_des_appareils_poste_de_travail_ordinateur_portable[Champ d''application],Cartographie_des_appareils_poste_de_travail_ordinateur_portable[Contrôle NIST]=B53)&amp;CHAR(10)),""),
IFERROR(_xlfn.CONCAT(_xlfn._xlws.FILTER(#REF!,#REF!=B53)&amp;CHAR(10)),""),
IFERROR(_xlfn.CONCAT(_xlfn._xlws.FILTER(Cartographie_des_appareils_écrans[Champ d''application],Cartographie_des_appareils_écrans[Contrôle NIST]=B53)&amp;CHAR(10)),""),
IFERROR(_xlfn.CONCAT(_xlfn._xlws.FILTER(Cartographie_des_appareils_Smartphones[Champ d''application],Cartographie_des_appareils_Smartphones[Contrôle NIST]=B53)&amp;CHAR(10)),"")
)</f>
        <v/>
      </c>
      <c r="H53" s="288">
        <f>SUMIF(Cartographie_des_appareils[Contrôle NIST],B53,Cartographie_des_appareils[Émissions totales (kgC02e)])</f>
        <v>0</v>
      </c>
      <c r="I53" s="289" t="str" cm="1">
        <f t="array" ref="I53">IFERROR(_xlfn.CONCAT(_xlfn._xlws.FILTER(Cartographie_des_appareils[Champ d''application],Cartographie_des_appareils[Contrôle NIST]=B53)&amp;CHAR(10)),"")</f>
        <v/>
      </c>
      <c r="J53" s="288">
        <f>SUMIF(Cartographie_des_serveurs_de_sauvegarde[Contrôle NIST],B53,Cartographie_des_serveurs_de_sauvegarde[Émissions totales (kgC02e)])</f>
        <v>0</v>
      </c>
      <c r="K53" s="289" t="str" cm="1">
        <f t="array" ref="K53">_xlfn.CONCAT(
IFERROR(_xlfn.CONCAT(_xlfn._xlws.FILTER(Cartographie_non_cyber_serveurs[Champ d''application],Cartographie_non_cyber_serveurs[Contrôle NIST]=B53)&amp;CHAR(10)),""),
IFERROR(_xlfn.CONCAT(_xlfn._xlws.FILTER(Cartographie_des_serveurs_de_sauvegarde[Champ d''application],Cartographie_des_serveurs_de_sauvegarde[Contrôle NIST]=B53)&amp;CHAR(10)),""),
)</f>
        <v/>
      </c>
      <c r="L53" s="288">
        <f>SUMIF(Cartographie_Solutions_Sur_Site[Contrôle NIST],B53,Cartographie_Solutions_Sur_Site[Émissions totales de carbone du NIST (kgCO2e)])
+SUMIF(Cartographie_Solutions_sur_Cloud[Contrôle NIST],B53,Cartographie_Solutions_sur_Cloud[Émissions totales de carbone du NIST (kgCO2e)])</f>
        <v>0</v>
      </c>
      <c r="M53" s="289" t="str" cm="1">
        <f t="array" ref="M53">_xlfn.CONCAT(
IFERROR(_xlfn.CONCAT(_xlfn._xlws.FILTER(Cartographie_Solutions_Sur_Site[Nom de l''application],#REF!=B53)&amp;CHAR(10)),""),
IFERROR(_xlfn.CONCAT(_xlfn._xlws.FILTER(Cartographie_Solutions_sur_Cloud[Nom de l''application],#REF!=B53)&amp;CHAR(10)),"")
)</f>
        <v/>
      </c>
      <c r="N53" s="288">
        <f>SUMIF(Cartographie_des_TM_externes[Contrôle NIST],B53,Cartographie_des_TM_externes[Émissions de carbone du NIST (kgCO2e)])
+SUMIF(Cartographie_des_externes_prix_fixes[Contrôle NIST],B53,Cartographie_des_externes_prix_fixes[Émissions de carbone du NIST (kgCO2e)])</f>
        <v>0</v>
      </c>
      <c r="O53" s="289" t="str" cm="1">
        <f t="array" ref="O53">_xlfn.CONCAT(
IFERROR(_xlfn.CONCAT(_xlfn._xlws.FILTER(Cartographie_des_TM_externes[Nom du service],#REF!=B53)&amp;CHAR(10)),""),
IFERROR(_xlfn.CONCAT(_xlfn._xlws.FILTER(Cartographie_des_externes_prix_fixes[Nom du service],#REF!=B53)&amp;CHAR(10)),""))</f>
        <v/>
      </c>
      <c r="P53" s="288">
        <f>SUMIF(Cartographie_voyage[Contrôle NIST],B53,Cartographie_voyage[Émissions totales (kgC02e)])</f>
        <v>0</v>
      </c>
      <c r="Q53" s="290" t="str" cm="1">
        <f t="array" ref="Q53">IFERROR(_xlfn.CONCAT(_xlfn._xlws.FILTER(Cartographie_voyage[Type de transport],Cartographie_voyage[Contrôle NIST]=B53)&amp;CHAR(10)),"")</f>
        <v/>
      </c>
      <c r="R53" s="288">
        <f>SUMIF(Cartographie_poste_de_travail_non_cyber_ordinateur_portable[Contrôle NIST],B53,Cartographie_poste_de_travail_non_cyber_ordinateur_portable[Émissions totales (kgC02e)])
+SUMIF(Cartographie_poste_de_travail_non_cyber_ordinateur_de_bureau[Contrôle NIST],B53,Cartographie_poste_de_travail_non_cyber_ordinateur_de_bureau[Émissions totales (kgC02e)])
+SUMIF(Cartographie_non_cyber_VDI[Contrôle NIST],B53,Cartographie_non_cyber_VDI[Émissions totales (kgC02e)])
+SUMIF(Cartographie_non_cyber_serveurs[Contrôle NIST],B53,Cartographie_non_cyber_serveurs[Émissions totales (kgC02e)])</f>
        <v>610.33191900000008</v>
      </c>
      <c r="S53" s="289" t="str" cm="1">
        <f t="array" ref="S53">_xlfn.CONCAT(
IFERROR(_xlfn.CONCAT(_xlfn._xlws.FILTER(Cartographie_poste_de_travail_non_cyber_ordinateur_portable[Champ d''application],Cartographie_poste_de_travail_non_cyber_ordinateur_portable[Contrôle NIST]=B53)&amp;CHAR(10)),""),
IFERROR(_xlfn.CONCAT(_xlfn._xlws.FILTER(Cartographie_poste_de_travail_non_cyber_ordinateur_de_bureau[Champ d''application],Cartographie_poste_de_travail_non_cyber_ordinateur_de_bureau[Contrôle NIST]=B53)&amp;CHAR(10)),""),
IFERROR(_xlfn.CONCAT(_xlfn._xlws.FILTER(Cartographie_non_cyber_VDI[Champ d''application],Cartographie_non_cyber_VDI[Contrôle NIST]=B53)&amp;CHAR(10)),""),
IFERROR(_xlfn.CONCAT(_xlfn._xlws.FILTER(Cartographie_non_cyber_serveurs[Champ d''application],Cartographie_non_cyber_serveurs[Contrôle NIST]=B53)&amp;CHAR(10)),"")
)</f>
        <v xml:space="preserve">Postes de travail utilisés par les administrateurs du SI (périmètre du Groupe)
Postes de travail utilisés par les administrateurs du SI (périmètre du Groupe)
VDIs utilisés par les administrateurs du SI (Périmètre du Groupe)
</v>
      </c>
    </row>
    <row r="54" spans="1:19" ht="73.5" customHeight="1" x14ac:dyDescent="0.3">
      <c r="A54" s="284" t="s">
        <v>6</v>
      </c>
      <c r="B54" s="285" t="s">
        <v>47</v>
      </c>
      <c r="C54" s="284" t="s">
        <v>262</v>
      </c>
      <c r="D5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668237.28599999996</v>
      </c>
      <c r="E54" s="287">
        <f>Tableau_de_bord_par_contrôle[[#This Row],[Émissions annuelles totales de CO2e(kgCO2e)]]/(1000*Total)</f>
        <v>0.11890168439564971</v>
      </c>
      <c r="F54" s="288">
        <f xml:space="preserve">
SUMIF(Cartographie_des_appareils_poste_de_travail_ordinateur_portable[Contrôle NIST],B54,Cartographie_des_appareils_poste_de_travail_ordinateur_portable[Émissions totales (kgC02e)])
+SUMIF(Cartographie_des_appareils_poste_de_travail_ordinateur_de_bureau[Contrôle NIST],B54,Cartographie_des_appareils_poste_de_travail_ordinateur_de_bureau[Émissions totales (kgC02e)])
+SUMIF(Cartographie_des_appareils_écrans[Contrôle NIST],B54,Cartographie_des_appareils_écrans[Émissions totales (kgC02e)])+SUMIF(Cartographie_des_appareils_Smartphones[Contrôle NIST],B54,Cartographie_des_appareils_Smartphones[Émissions totales (kgC02e)])</f>
        <v>0</v>
      </c>
      <c r="G54" s="289" t="str" cm="1">
        <f t="array" ref="G54">_xlfn.CONCAT(
IFERROR(_xlfn.CONCAT(_xlfn._xlws.FILTER(Cartographie_des_appareils_poste_de_travail_ordinateur_portable[Champ d''application],Cartographie_des_appareils_poste_de_travail_ordinateur_portable[Contrôle NIST]=B54)&amp;CHAR(10)),""),
IFERROR(_xlfn.CONCAT(_xlfn._xlws.FILTER(#REF!,#REF!=B54)&amp;CHAR(10)),""),
IFERROR(_xlfn.CONCAT(_xlfn._xlws.FILTER(Cartographie_des_appareils_écrans[Champ d''application],Cartographie_des_appareils_écrans[Contrôle NIST]=B54)&amp;CHAR(10)),""),
IFERROR(_xlfn.CONCAT(_xlfn._xlws.FILTER(Cartographie_des_appareils_Smartphones[Champ d''application],Cartographie_des_appareils_Smartphones[Contrôle NIST]=B54)&amp;CHAR(10)),"")
)</f>
        <v/>
      </c>
      <c r="H54" s="288">
        <f>SUMIF(Cartographie_des_appareils[Contrôle NIST],B54,Cartographie_des_appareils[Émissions totales (kgC02e)])</f>
        <v>0</v>
      </c>
      <c r="I54" s="289" t="str" cm="1">
        <f t="array" ref="I54">IFERROR(_xlfn.CONCAT(_xlfn._xlws.FILTER(Cartographie_des_appareils[Champ d''application],Cartographie_des_appareils[Contrôle NIST]=B54)&amp;CHAR(10)),"")</f>
        <v/>
      </c>
      <c r="J54" s="288">
        <f>SUMIF(Cartographie_des_serveurs_de_sauvegarde[Contrôle NIST],B54,Cartographie_des_serveurs_de_sauvegarde[Émissions totales (kgC02e)])</f>
        <v>0</v>
      </c>
      <c r="K54" s="289" t="str" cm="1">
        <f t="array" ref="K54">_xlfn.CONCAT(
IFERROR(_xlfn.CONCAT(_xlfn._xlws.FILTER(Cartographie_non_cyber_serveurs[Champ d''application],Cartographie_non_cyber_serveurs[Contrôle NIST]=B54)&amp;CHAR(10)),""),
IFERROR(_xlfn.CONCAT(_xlfn._xlws.FILTER(Cartographie_des_serveurs_de_sauvegarde[Champ d''application],Cartographie_des_serveurs_de_sauvegarde[Contrôle NIST]=B54)&amp;CHAR(10)),""),
)</f>
        <v/>
      </c>
      <c r="L54" s="288">
        <f>SUMIF(Cartographie_Solutions_Sur_Site[Contrôle NIST],B54,Cartographie_Solutions_Sur_Site[Émissions totales de carbone du NIST (kgCO2e)])
+SUMIF(Cartographie_Solutions_sur_Cloud[Contrôle NIST],B54,Cartographie_Solutions_sur_Cloud[Émissions totales de carbone du NIST (kgCO2e)])</f>
        <v>0</v>
      </c>
      <c r="M54" s="289" t="str" cm="1">
        <f t="array" ref="M54">_xlfn.CONCAT(
IFERROR(_xlfn.CONCAT(_xlfn._xlws.FILTER(Cartographie_Solutions_Sur_Site[Nom de l''application],#REF!=B54)&amp;CHAR(10)),""),
IFERROR(_xlfn.CONCAT(_xlfn._xlws.FILTER(Cartographie_Solutions_sur_Cloud[Nom de l''application],#REF!=B54)&amp;CHAR(10)),"")
)</f>
        <v/>
      </c>
      <c r="N54" s="288">
        <f>SUMIF(Cartographie_des_TM_externes[Contrôle NIST],B54,Cartographie_des_TM_externes[Émissions de carbone du NIST (kgCO2e)])
+SUMIF(Cartographie_des_externes_prix_fixes[Contrôle NIST],B54,Cartographie_des_externes_prix_fixes[Émissions de carbone du NIST (kgCO2e)])</f>
        <v>0</v>
      </c>
      <c r="O54" s="289" t="str" cm="1">
        <f t="array" ref="O54">_xlfn.CONCAT(
IFERROR(_xlfn.CONCAT(_xlfn._xlws.FILTER(Cartographie_des_TM_externes[Nom du service],#REF!=B54)&amp;CHAR(10)),""),
IFERROR(_xlfn.CONCAT(_xlfn._xlws.FILTER(Cartographie_des_externes_prix_fixes[Nom du service],#REF!=B54)&amp;CHAR(10)),""))</f>
        <v/>
      </c>
      <c r="P54" s="288">
        <f>SUMIF(Cartographie_voyage[Contrôle NIST],B54,Cartographie_voyage[Émissions totales (kgC02e)])</f>
        <v>668237.28599999996</v>
      </c>
      <c r="Q54" s="290" t="str" cm="1">
        <f t="array" ref="Q54">IFERROR(_xlfn.CONCAT(_xlfn._xlws.FILTER(Cartographie_voyage[Type de transport],Cartographie_voyage[Contrôle NIST]=B54)&amp;CHAR(10)),"")</f>
        <v xml:space="preserve">Avion
Voiture
Train
</v>
      </c>
      <c r="R54" s="288">
        <f>SUMIF(Cartographie_poste_de_travail_non_cyber_ordinateur_portable[Contrôle NIST],B54,Cartographie_poste_de_travail_non_cyber_ordinateur_portable[Émissions totales (kgC02e)])
+SUMIF(Cartographie_poste_de_travail_non_cyber_ordinateur_de_bureau[Contrôle NIST],B54,Cartographie_poste_de_travail_non_cyber_ordinateur_de_bureau[Émissions totales (kgC02e)])
+SUMIF(Cartographie_non_cyber_VDI[Contrôle NIST],B54,Cartographie_non_cyber_VDI[Émissions totales (kgC02e)])
+SUMIF(Cartographie_non_cyber_serveurs[Contrôle NIST],B54,Cartographie_non_cyber_serveurs[Émissions totales (kgC02e)])</f>
        <v>0</v>
      </c>
      <c r="S54" s="289" t="str" cm="1">
        <f t="array" ref="S54">_xlfn.CONCAT(
IFERROR(_xlfn.CONCAT(_xlfn._xlws.FILTER(Cartographie_poste_de_travail_non_cyber_ordinateur_portable[Champ d''application],Cartographie_poste_de_travail_non_cyber_ordinateur_portable[Contrôle NIST]=B54)&amp;CHAR(10)),""),
IFERROR(_xlfn.CONCAT(_xlfn._xlws.FILTER(Cartographie_poste_de_travail_non_cyber_ordinateur_de_bureau[Champ d''application],Cartographie_poste_de_travail_non_cyber_ordinateur_de_bureau[Contrôle NIST]=B54)&amp;CHAR(10)),""),
IFERROR(_xlfn.CONCAT(_xlfn._xlws.FILTER(Cartographie_non_cyber_VDI[Champ d''application],Cartographie_non_cyber_VDI[Contrôle NIST]=B54)&amp;CHAR(10)),""),
IFERROR(_xlfn.CONCAT(_xlfn._xlws.FILTER(Cartographie_non_cyber_serveurs[Champ d''application],Cartographie_non_cyber_serveurs[Contrôle NIST]=B54)&amp;CHAR(10)),"")
)</f>
        <v/>
      </c>
    </row>
    <row r="55" spans="1:19" ht="73.5" customHeight="1" x14ac:dyDescent="0.3">
      <c r="A55" s="284" t="s">
        <v>6</v>
      </c>
      <c r="B55" s="285" t="s">
        <v>48</v>
      </c>
      <c r="C55" s="284" t="s">
        <v>491</v>
      </c>
      <c r="D5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5" s="287">
        <f>Tableau_de_bord_par_contrôle[[#This Row],[Émissions annuelles totales de CO2e(kgCO2e)]]/(1000*Total)</f>
        <v>0</v>
      </c>
      <c r="F55" s="288">
        <f xml:space="preserve">
SUMIF(Cartographie_des_appareils_poste_de_travail_ordinateur_portable[Contrôle NIST],B55,Cartographie_des_appareils_poste_de_travail_ordinateur_portable[Émissions totales (kgC02e)])
+SUMIF(Cartographie_des_appareils_poste_de_travail_ordinateur_de_bureau[Contrôle NIST],B55,Cartographie_des_appareils_poste_de_travail_ordinateur_de_bureau[Émissions totales (kgC02e)])
+SUMIF(Cartographie_des_appareils_écrans[Contrôle NIST],B55,Cartographie_des_appareils_écrans[Émissions totales (kgC02e)])+SUMIF(Cartographie_des_appareils_Smartphones[Contrôle NIST],B55,Cartographie_des_appareils_Smartphones[Émissions totales (kgC02e)])</f>
        <v>0</v>
      </c>
      <c r="G55" s="289" t="str" cm="1">
        <f t="array" ref="G55">_xlfn.CONCAT(
IFERROR(_xlfn.CONCAT(_xlfn._xlws.FILTER(Cartographie_des_appareils_poste_de_travail_ordinateur_portable[Champ d''application],Cartographie_des_appareils_poste_de_travail_ordinateur_portable[Contrôle NIST]=B55)&amp;CHAR(10)),""),
IFERROR(_xlfn.CONCAT(_xlfn._xlws.FILTER(#REF!,#REF!=B55)&amp;CHAR(10)),""),
IFERROR(_xlfn.CONCAT(_xlfn._xlws.FILTER(Cartographie_des_appareils_écrans[Champ d''application],Cartographie_des_appareils_écrans[Contrôle NIST]=B55)&amp;CHAR(10)),""),
IFERROR(_xlfn.CONCAT(_xlfn._xlws.FILTER(Cartographie_des_appareils_Smartphones[Champ d''application],Cartographie_des_appareils_Smartphones[Contrôle NIST]=B55)&amp;CHAR(10)),"")
)</f>
        <v/>
      </c>
      <c r="H55" s="288">
        <f>SUMIF(Cartographie_des_appareils[Contrôle NIST],B55,Cartographie_des_appareils[Émissions totales (kgC02e)])</f>
        <v>0</v>
      </c>
      <c r="I55" s="289" t="str" cm="1">
        <f t="array" ref="I55">IFERROR(_xlfn.CONCAT(_xlfn._xlws.FILTER(Cartographie_des_appareils[Champ d''application],Cartographie_des_appareils[Contrôle NIST]=B55)&amp;CHAR(10)),"")</f>
        <v/>
      </c>
      <c r="J55" s="288">
        <f>SUMIF(Cartographie_des_serveurs_de_sauvegarde[Contrôle NIST],B55,Cartographie_des_serveurs_de_sauvegarde[Émissions totales (kgC02e)])</f>
        <v>0</v>
      </c>
      <c r="K55" s="289" t="str" cm="1">
        <f t="array" ref="K55">_xlfn.CONCAT(
IFERROR(_xlfn.CONCAT(_xlfn._xlws.FILTER(Cartographie_non_cyber_serveurs[Champ d''application],Cartographie_non_cyber_serveurs[Contrôle NIST]=B55)&amp;CHAR(10)),""),
IFERROR(_xlfn.CONCAT(_xlfn._xlws.FILTER(Cartographie_des_serveurs_de_sauvegarde[Champ d''application],Cartographie_des_serveurs_de_sauvegarde[Contrôle NIST]=B55)&amp;CHAR(10)),""),
)</f>
        <v/>
      </c>
      <c r="L55" s="288">
        <f>SUMIF(Cartographie_Solutions_Sur_Site[Contrôle NIST],B55,Cartographie_Solutions_Sur_Site[Émissions totales de carbone du NIST (kgCO2e)])
+SUMIF(Cartographie_Solutions_sur_Cloud[Contrôle NIST],B55,Cartographie_Solutions_sur_Cloud[Émissions totales de carbone du NIST (kgCO2e)])</f>
        <v>0</v>
      </c>
      <c r="M55" s="289" t="str" cm="1">
        <f t="array" ref="M55">_xlfn.CONCAT(
IFERROR(_xlfn.CONCAT(_xlfn._xlws.FILTER(Cartographie_Solutions_Sur_Site[Nom de l''application],#REF!=B55)&amp;CHAR(10)),""),
IFERROR(_xlfn.CONCAT(_xlfn._xlws.FILTER(Cartographie_Solutions_sur_Cloud[Nom de l''application],#REF!=B55)&amp;CHAR(10)),"")
)</f>
        <v/>
      </c>
      <c r="N55" s="288">
        <f>SUMIF(Cartographie_des_TM_externes[Contrôle NIST],B55,Cartographie_des_TM_externes[Émissions de carbone du NIST (kgCO2e)])
+SUMIF(Cartographie_des_externes_prix_fixes[Contrôle NIST],B55,Cartographie_des_externes_prix_fixes[Émissions de carbone du NIST (kgCO2e)])</f>
        <v>0</v>
      </c>
      <c r="O55" s="289" t="str" cm="1">
        <f t="array" ref="O55">_xlfn.CONCAT(
IFERROR(_xlfn.CONCAT(_xlfn._xlws.FILTER(Cartographie_des_TM_externes[Nom du service],#REF!=B55)&amp;CHAR(10)),""),
IFERROR(_xlfn.CONCAT(_xlfn._xlws.FILTER(Cartographie_des_externes_prix_fixes[Nom du service],#REF!=B55)&amp;CHAR(10)),""))</f>
        <v/>
      </c>
      <c r="P55" s="288">
        <f>SUMIF(Cartographie_voyage[Contrôle NIST],B55,Cartographie_voyage[Émissions totales (kgC02e)])</f>
        <v>0</v>
      </c>
      <c r="Q55" s="290" t="str" cm="1">
        <f t="array" ref="Q55">IFERROR(_xlfn.CONCAT(_xlfn._xlws.FILTER(Cartographie_voyage[Type de transport],Cartographie_voyage[Contrôle NIST]=B55)&amp;CHAR(10)),"")</f>
        <v/>
      </c>
      <c r="R55" s="288">
        <f>SUMIF(Cartographie_poste_de_travail_non_cyber_ordinateur_portable[Contrôle NIST],B55,Cartographie_poste_de_travail_non_cyber_ordinateur_portable[Émissions totales (kgC02e)])
+SUMIF(Cartographie_poste_de_travail_non_cyber_ordinateur_de_bureau[Contrôle NIST],B55,Cartographie_poste_de_travail_non_cyber_ordinateur_de_bureau[Émissions totales (kgC02e)])
+SUMIF(Cartographie_non_cyber_VDI[Contrôle NIST],B55,Cartographie_non_cyber_VDI[Émissions totales (kgC02e)])
+SUMIF(Cartographie_non_cyber_serveurs[Contrôle NIST],B55,Cartographie_non_cyber_serveurs[Émissions totales (kgC02e)])</f>
        <v>0</v>
      </c>
      <c r="S55" s="289" t="str" cm="1">
        <f t="array" ref="S55">_xlfn.CONCAT(
IFERROR(_xlfn.CONCAT(_xlfn._xlws.FILTER(Cartographie_poste_de_travail_non_cyber_ordinateur_portable[Champ d''application],Cartographie_poste_de_travail_non_cyber_ordinateur_portable[Contrôle NIST]=B55)&amp;CHAR(10)),""),
IFERROR(_xlfn.CONCAT(_xlfn._xlws.FILTER(Cartographie_poste_de_travail_non_cyber_ordinateur_de_bureau[Champ d''application],Cartographie_poste_de_travail_non_cyber_ordinateur_de_bureau[Contrôle NIST]=B55)&amp;CHAR(10)),""),
IFERROR(_xlfn.CONCAT(_xlfn._xlws.FILTER(Cartographie_non_cyber_VDI[Champ d''application],Cartographie_non_cyber_VDI[Contrôle NIST]=B55)&amp;CHAR(10)),""),
IFERROR(_xlfn.CONCAT(_xlfn._xlws.FILTER(Cartographie_non_cyber_serveurs[Champ d''application],Cartographie_non_cyber_serveurs[Contrôle NIST]=B55)&amp;CHAR(10)),"")
)</f>
        <v/>
      </c>
    </row>
    <row r="56" spans="1:19" ht="73.5" customHeight="1" x14ac:dyDescent="0.3">
      <c r="A56" s="284" t="s">
        <v>6</v>
      </c>
      <c r="B56" s="285" t="s">
        <v>49</v>
      </c>
      <c r="C56" s="284" t="s">
        <v>492</v>
      </c>
      <c r="D5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21934.199041666667</v>
      </c>
      <c r="E56" s="287">
        <f>Tableau_de_bord_par_contrôle[[#This Row],[Émissions annuelles totales de CO2e(kgCO2e)]]/(1000*Total)</f>
        <v>3.9028250391936561E-3</v>
      </c>
      <c r="F56" s="288">
        <f xml:space="preserve">
SUMIF(Cartographie_des_appareils_poste_de_travail_ordinateur_portable[Contrôle NIST],B56,Cartographie_des_appareils_poste_de_travail_ordinateur_portable[Émissions totales (kgC02e)])
+SUMIF(Cartographie_des_appareils_poste_de_travail_ordinateur_de_bureau[Contrôle NIST],B56,Cartographie_des_appareils_poste_de_travail_ordinateur_de_bureau[Émissions totales (kgC02e)])
+SUMIF(Cartographie_des_appareils_écrans[Contrôle NIST],B56,Cartographie_des_appareils_écrans[Émissions totales (kgC02e)])+SUMIF(Cartographie_des_appareils_Smartphones[Contrôle NIST],B56,Cartographie_des_appareils_Smartphones[Émissions totales (kgC02e)])</f>
        <v>21934.199041666667</v>
      </c>
      <c r="G56" s="289" t="str" cm="1">
        <f t="array" ref="G56">_xlfn.CONCAT(
IFERROR(_xlfn.CONCAT(_xlfn._xlws.FILTER(Cartographie_des_appareils_poste_de_travail_ordinateur_portable[Champ d''application],Cartographie_des_appareils_poste_de_travail_ordinateur_portable[Contrôle NIST]=B56)&amp;CHAR(10)),""),
IFERROR(_xlfn.CONCAT(_xlfn._xlws.FILTER(#REF!,#REF!=B56)&amp;CHAR(10)),""),
IFERROR(_xlfn.CONCAT(_xlfn._xlws.FILTER(Cartographie_des_appareils_écrans[Champ d''application],Cartographie_des_appareils_écrans[Contrôle NIST]=B56)&amp;CHAR(10)),""),
IFERROR(_xlfn.CONCAT(_xlfn._xlws.FILTER(Cartographie_des_appareils_Smartphones[Champ d''application],Cartographie_des_appareils_Smartphones[Contrôle NIST]=B56)&amp;CHAR(10)),"")
)</f>
        <v xml:space="preserve">Postes de travail utilisés par les employés Cyber internes
Écrans utilisés par les employés Cyber internes ou externes donnés par votre entreprise
Mobile utilisé par les employés Cyber internes ou externes mis à disposition par votre entreprise
</v>
      </c>
      <c r="H56" s="288">
        <f>SUMIF(Cartographie_des_appareils[Contrôle NIST],B56,Cartographie_des_appareils[Émissions totales (kgC02e)])</f>
        <v>0</v>
      </c>
      <c r="I56" s="289" t="str" cm="1">
        <f t="array" ref="I56">IFERROR(_xlfn.CONCAT(_xlfn._xlws.FILTER(Cartographie_des_appareils[Champ d''application],Cartographie_des_appareils[Contrôle NIST]=B56)&amp;CHAR(10)),"")</f>
        <v/>
      </c>
      <c r="J56" s="288">
        <f>SUMIF(Cartographie_des_serveurs_de_sauvegarde[Contrôle NIST],B56,Cartographie_des_serveurs_de_sauvegarde[Émissions totales (kgC02e)])</f>
        <v>0</v>
      </c>
      <c r="K56" s="289" t="str" cm="1">
        <f t="array" ref="K56">_xlfn.CONCAT(
IFERROR(_xlfn.CONCAT(_xlfn._xlws.FILTER(Cartographie_non_cyber_serveurs[Champ d''application],Cartographie_non_cyber_serveurs[Contrôle NIST]=B56)&amp;CHAR(10)),""),
IFERROR(_xlfn.CONCAT(_xlfn._xlws.FILTER(Cartographie_des_serveurs_de_sauvegarde[Champ d''application],Cartographie_des_serveurs_de_sauvegarde[Contrôle NIST]=B56)&amp;CHAR(10)),""),
)</f>
        <v/>
      </c>
      <c r="L56" s="288">
        <f>SUMIF(Cartographie_Solutions_Sur_Site[Contrôle NIST],B56,Cartographie_Solutions_Sur_Site[Émissions totales de carbone du NIST (kgCO2e)])
+SUMIF(Cartographie_Solutions_sur_Cloud[Contrôle NIST],B56,Cartographie_Solutions_sur_Cloud[Émissions totales de carbone du NIST (kgCO2e)])</f>
        <v>0</v>
      </c>
      <c r="M56" s="289" t="str" cm="1">
        <f t="array" ref="M56">_xlfn.CONCAT(
IFERROR(_xlfn.CONCAT(_xlfn._xlws.FILTER(Cartographie_Solutions_Sur_Site[Nom de l''application],#REF!=B56)&amp;CHAR(10)),""),
IFERROR(_xlfn.CONCAT(_xlfn._xlws.FILTER(Cartographie_Solutions_sur_Cloud[Nom de l''application],#REF!=B56)&amp;CHAR(10)),"")
)</f>
        <v/>
      </c>
      <c r="N56" s="288">
        <f>SUMIF(Cartographie_des_TM_externes[Contrôle NIST],B56,Cartographie_des_TM_externes[Émissions de carbone du NIST (kgCO2e)])
+SUMIF(Cartographie_des_externes_prix_fixes[Contrôle NIST],B56,Cartographie_des_externes_prix_fixes[Émissions de carbone du NIST (kgCO2e)])</f>
        <v>0</v>
      </c>
      <c r="O56" s="289" t="str" cm="1">
        <f t="array" ref="O56">_xlfn.CONCAT(
IFERROR(_xlfn.CONCAT(_xlfn._xlws.FILTER(Cartographie_des_TM_externes[Nom du service],#REF!=B56)&amp;CHAR(10)),""),
IFERROR(_xlfn.CONCAT(_xlfn._xlws.FILTER(Cartographie_des_externes_prix_fixes[Nom du service],#REF!=B56)&amp;CHAR(10)),""))</f>
        <v/>
      </c>
      <c r="P56" s="288">
        <f>SUMIF(Cartographie_voyage[Contrôle NIST],B56,Cartographie_voyage[Émissions totales (kgC02e)])</f>
        <v>0</v>
      </c>
      <c r="Q56" s="290" t="str" cm="1">
        <f t="array" ref="Q56">IFERROR(_xlfn.CONCAT(_xlfn._xlws.FILTER(Cartographie_voyage[Type de transport],Cartographie_voyage[Contrôle NIST]=B56)&amp;CHAR(10)),"")</f>
        <v/>
      </c>
      <c r="R56" s="288">
        <f>SUMIF(Cartographie_poste_de_travail_non_cyber_ordinateur_portable[Contrôle NIST],B56,Cartographie_poste_de_travail_non_cyber_ordinateur_portable[Émissions totales (kgC02e)])
+SUMIF(Cartographie_poste_de_travail_non_cyber_ordinateur_de_bureau[Contrôle NIST],B56,Cartographie_poste_de_travail_non_cyber_ordinateur_de_bureau[Émissions totales (kgC02e)])
+SUMIF(Cartographie_non_cyber_VDI[Contrôle NIST],B56,Cartographie_non_cyber_VDI[Émissions totales (kgC02e)])
+SUMIF(Cartographie_non_cyber_serveurs[Contrôle NIST],B56,Cartographie_non_cyber_serveurs[Émissions totales (kgC02e)])</f>
        <v>0</v>
      </c>
      <c r="S56" s="289" t="str" cm="1">
        <f t="array" ref="S56">_xlfn.CONCAT(
IFERROR(_xlfn.CONCAT(_xlfn._xlws.FILTER(Cartographie_poste_de_travail_non_cyber_ordinateur_portable[Champ d''application],Cartographie_poste_de_travail_non_cyber_ordinateur_portable[Contrôle NIST]=B56)&amp;CHAR(10)),""),
IFERROR(_xlfn.CONCAT(_xlfn._xlws.FILTER(Cartographie_poste_de_travail_non_cyber_ordinateur_de_bureau[Champ d''application],Cartographie_poste_de_travail_non_cyber_ordinateur_de_bureau[Contrôle NIST]=B56)&amp;CHAR(10)),""),
IFERROR(_xlfn.CONCAT(_xlfn._xlws.FILTER(Cartographie_non_cyber_VDI[Champ d''application],Cartographie_non_cyber_VDI[Contrôle NIST]=B56)&amp;CHAR(10)),""),
IFERROR(_xlfn.CONCAT(_xlfn._xlws.FILTER(Cartographie_non_cyber_serveurs[Champ d''application],Cartographie_non_cyber_serveurs[Contrôle NIST]=B56)&amp;CHAR(10)),"")
)</f>
        <v/>
      </c>
    </row>
    <row r="57" spans="1:19" ht="73.5" customHeight="1" x14ac:dyDescent="0.3">
      <c r="A57" s="284" t="s">
        <v>7</v>
      </c>
      <c r="B57" s="285" t="s">
        <v>50</v>
      </c>
      <c r="C57" s="284" t="s">
        <v>493</v>
      </c>
      <c r="D5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7" s="287">
        <f>Tableau_de_bord_par_contrôle[[#This Row],[Émissions annuelles totales de CO2e(kgCO2e)]]/(1000*Total)</f>
        <v>0</v>
      </c>
      <c r="F57" s="288">
        <f xml:space="preserve">
SUMIF(Cartographie_des_appareils_poste_de_travail_ordinateur_portable[Contrôle NIST],B57,Cartographie_des_appareils_poste_de_travail_ordinateur_portable[Émissions totales (kgC02e)])
+SUMIF(Cartographie_des_appareils_poste_de_travail_ordinateur_de_bureau[Contrôle NIST],B57,Cartographie_des_appareils_poste_de_travail_ordinateur_de_bureau[Émissions totales (kgC02e)])
+SUMIF(Cartographie_des_appareils_écrans[Contrôle NIST],B57,Cartographie_des_appareils_écrans[Émissions totales (kgC02e)])+SUMIF(Cartographie_des_appareils_Smartphones[Contrôle NIST],B57,Cartographie_des_appareils_Smartphones[Émissions totales (kgC02e)])</f>
        <v>0</v>
      </c>
      <c r="G57" s="289" t="str" cm="1">
        <f t="array" ref="G57">_xlfn.CONCAT(
IFERROR(_xlfn.CONCAT(_xlfn._xlws.FILTER(Cartographie_des_appareils_poste_de_travail_ordinateur_portable[Champ d''application],Cartographie_des_appareils_poste_de_travail_ordinateur_portable[Contrôle NIST]=B57)&amp;CHAR(10)),""),
IFERROR(_xlfn.CONCAT(_xlfn._xlws.FILTER(#REF!,#REF!=B57)&amp;CHAR(10)),""),
IFERROR(_xlfn.CONCAT(_xlfn._xlws.FILTER(Cartographie_des_appareils_écrans[Champ d''application],Cartographie_des_appareils_écrans[Contrôle NIST]=B57)&amp;CHAR(10)),""),
IFERROR(_xlfn.CONCAT(_xlfn._xlws.FILTER(Cartographie_des_appareils_Smartphones[Champ d''application],Cartographie_des_appareils_Smartphones[Contrôle NIST]=B57)&amp;CHAR(10)),"")
)</f>
        <v/>
      </c>
      <c r="H57" s="288">
        <f>SUMIF(Cartographie_des_appareils[Contrôle NIST],B57,Cartographie_des_appareils[Émissions totales (kgC02e)])</f>
        <v>0</v>
      </c>
      <c r="I57" s="289" t="str" cm="1">
        <f t="array" ref="I57">IFERROR(_xlfn.CONCAT(_xlfn._xlws.FILTER(Cartographie_des_appareils[Champ d''application],Cartographie_des_appareils[Contrôle NIST]=B57)&amp;CHAR(10)),"")</f>
        <v/>
      </c>
      <c r="J57" s="288">
        <f>SUMIF(Cartographie_des_serveurs_de_sauvegarde[Contrôle NIST],B57,Cartographie_des_serveurs_de_sauvegarde[Émissions totales (kgC02e)])</f>
        <v>0</v>
      </c>
      <c r="K57" s="289" t="str" cm="1">
        <f t="array" ref="K57">_xlfn.CONCAT(
IFERROR(_xlfn.CONCAT(_xlfn._xlws.FILTER(Cartographie_non_cyber_serveurs[Champ d''application],Cartographie_non_cyber_serveurs[Contrôle NIST]=B57)&amp;CHAR(10)),""),
IFERROR(_xlfn.CONCAT(_xlfn._xlws.FILTER(Cartographie_des_serveurs_de_sauvegarde[Champ d''application],Cartographie_des_serveurs_de_sauvegarde[Contrôle NIST]=B57)&amp;CHAR(10)),""),
)</f>
        <v/>
      </c>
      <c r="L57" s="288">
        <f>SUMIF(Cartographie_Solutions_Sur_Site[Contrôle NIST],B57,Cartographie_Solutions_Sur_Site[Émissions totales de carbone du NIST (kgCO2e)])
+SUMIF(Cartographie_Solutions_sur_Cloud[Contrôle NIST],B57,Cartographie_Solutions_sur_Cloud[Émissions totales de carbone du NIST (kgCO2e)])</f>
        <v>0</v>
      </c>
      <c r="M57" s="289" t="str" cm="1">
        <f t="array" ref="M57">_xlfn.CONCAT(
IFERROR(_xlfn.CONCAT(_xlfn._xlws.FILTER(Cartographie_Solutions_Sur_Site[Nom de l''application],#REF!=B57)&amp;CHAR(10)),""),
IFERROR(_xlfn.CONCAT(_xlfn._xlws.FILTER(Cartographie_Solutions_sur_Cloud[Nom de l''application],#REF!=B57)&amp;CHAR(10)),"")
)</f>
        <v/>
      </c>
      <c r="N57" s="288">
        <f>SUMIF(Cartographie_des_TM_externes[Contrôle NIST],B57,Cartographie_des_TM_externes[Émissions de carbone du NIST (kgCO2e)])
+SUMIF(Cartographie_des_externes_prix_fixes[Contrôle NIST],B57,Cartographie_des_externes_prix_fixes[Émissions de carbone du NIST (kgCO2e)])</f>
        <v>0</v>
      </c>
      <c r="O57" s="289" t="str" cm="1">
        <f t="array" ref="O57">_xlfn.CONCAT(
IFERROR(_xlfn.CONCAT(_xlfn._xlws.FILTER(Cartographie_des_TM_externes[Nom du service],#REF!=B57)&amp;CHAR(10)),""),
IFERROR(_xlfn.CONCAT(_xlfn._xlws.FILTER(Cartographie_des_externes_prix_fixes[Nom du service],#REF!=B57)&amp;CHAR(10)),""))</f>
        <v/>
      </c>
      <c r="P57" s="288">
        <f>SUMIF(Cartographie_voyage[Contrôle NIST],B57,Cartographie_voyage[Émissions totales (kgC02e)])</f>
        <v>0</v>
      </c>
      <c r="Q57" s="290" t="str" cm="1">
        <f t="array" ref="Q57">IFERROR(_xlfn.CONCAT(_xlfn._xlws.FILTER(Cartographie_voyage[Type de transport],Cartographie_voyage[Contrôle NIST]=B57)&amp;CHAR(10)),"")</f>
        <v/>
      </c>
      <c r="R57" s="288">
        <f>SUMIF(Cartographie_poste_de_travail_non_cyber_ordinateur_portable[Contrôle NIST],B57,Cartographie_poste_de_travail_non_cyber_ordinateur_portable[Émissions totales (kgC02e)])
+SUMIF(Cartographie_poste_de_travail_non_cyber_ordinateur_de_bureau[Contrôle NIST],B57,Cartographie_poste_de_travail_non_cyber_ordinateur_de_bureau[Émissions totales (kgC02e)])
+SUMIF(Cartographie_non_cyber_VDI[Contrôle NIST],B57,Cartographie_non_cyber_VDI[Émissions totales (kgC02e)])
+SUMIF(Cartographie_non_cyber_serveurs[Contrôle NIST],B57,Cartographie_non_cyber_serveurs[Émissions totales (kgC02e)])</f>
        <v>0</v>
      </c>
      <c r="S57" s="289" t="str" cm="1">
        <f t="array" ref="S57">_xlfn.CONCAT(
IFERROR(_xlfn.CONCAT(_xlfn._xlws.FILTER(Cartographie_poste_de_travail_non_cyber_ordinateur_portable[Champ d''application],Cartographie_poste_de_travail_non_cyber_ordinateur_portable[Contrôle NIST]=B57)&amp;CHAR(10)),""),
IFERROR(_xlfn.CONCAT(_xlfn._xlws.FILTER(Cartographie_poste_de_travail_non_cyber_ordinateur_de_bureau[Champ d''application],Cartographie_poste_de_travail_non_cyber_ordinateur_de_bureau[Contrôle NIST]=B57)&amp;CHAR(10)),""),
IFERROR(_xlfn.CONCAT(_xlfn._xlws.FILTER(Cartographie_non_cyber_VDI[Champ d''application],Cartographie_non_cyber_VDI[Contrôle NIST]=B57)&amp;CHAR(10)),""),
IFERROR(_xlfn.CONCAT(_xlfn._xlws.FILTER(Cartographie_non_cyber_serveurs[Champ d''application],Cartographie_non_cyber_serveurs[Contrôle NIST]=B57)&amp;CHAR(10)),"")
)</f>
        <v/>
      </c>
    </row>
    <row r="58" spans="1:19" ht="73.5" customHeight="1" x14ac:dyDescent="0.3">
      <c r="A58" s="284" t="s">
        <v>7</v>
      </c>
      <c r="B58" s="285" t="s">
        <v>51</v>
      </c>
      <c r="C58" s="284" t="s">
        <v>494</v>
      </c>
      <c r="D5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8" s="287">
        <f>Tableau_de_bord_par_contrôle[[#This Row],[Émissions annuelles totales de CO2e(kgCO2e)]]/(1000*Total)</f>
        <v>0</v>
      </c>
      <c r="F58" s="288">
        <f xml:space="preserve">
SUMIF(Cartographie_des_appareils_poste_de_travail_ordinateur_portable[Contrôle NIST],B58,Cartographie_des_appareils_poste_de_travail_ordinateur_portable[Émissions totales (kgC02e)])
+SUMIF(Cartographie_des_appareils_poste_de_travail_ordinateur_de_bureau[Contrôle NIST],B58,Cartographie_des_appareils_poste_de_travail_ordinateur_de_bureau[Émissions totales (kgC02e)])
+SUMIF(Cartographie_des_appareils_écrans[Contrôle NIST],B58,Cartographie_des_appareils_écrans[Émissions totales (kgC02e)])+SUMIF(Cartographie_des_appareils_Smartphones[Contrôle NIST],B58,Cartographie_des_appareils_Smartphones[Émissions totales (kgC02e)])</f>
        <v>0</v>
      </c>
      <c r="G58" s="289" t="str" cm="1">
        <f t="array" ref="G58">_xlfn.CONCAT(
IFERROR(_xlfn.CONCAT(_xlfn._xlws.FILTER(Cartographie_des_appareils_poste_de_travail_ordinateur_portable[Champ d''application],Cartographie_des_appareils_poste_de_travail_ordinateur_portable[Contrôle NIST]=B58)&amp;CHAR(10)),""),
IFERROR(_xlfn.CONCAT(_xlfn._xlws.FILTER(#REF!,#REF!=B58)&amp;CHAR(10)),""),
IFERROR(_xlfn.CONCAT(_xlfn._xlws.FILTER(Cartographie_des_appareils_écrans[Champ d''application],Cartographie_des_appareils_écrans[Contrôle NIST]=B58)&amp;CHAR(10)),""),
IFERROR(_xlfn.CONCAT(_xlfn._xlws.FILTER(Cartographie_des_appareils_Smartphones[Champ d''application],Cartographie_des_appareils_Smartphones[Contrôle NIST]=B58)&amp;CHAR(10)),"")
)</f>
        <v/>
      </c>
      <c r="H58" s="288">
        <f>SUMIF(Cartographie_des_appareils[Contrôle NIST],B58,Cartographie_des_appareils[Émissions totales (kgC02e)])</f>
        <v>0</v>
      </c>
      <c r="I58" s="289" t="str" cm="1">
        <f t="array" ref="I58">IFERROR(_xlfn.CONCAT(_xlfn._xlws.FILTER(Cartographie_des_appareils[Champ d''application],Cartographie_des_appareils[Contrôle NIST]=B58)&amp;CHAR(10)),"")</f>
        <v/>
      </c>
      <c r="J58" s="288">
        <f>SUMIF(Cartographie_des_serveurs_de_sauvegarde[Contrôle NIST],B58,Cartographie_des_serveurs_de_sauvegarde[Émissions totales (kgC02e)])</f>
        <v>0</v>
      </c>
      <c r="K58" s="289" t="str" cm="1">
        <f t="array" ref="K58">_xlfn.CONCAT(
IFERROR(_xlfn.CONCAT(_xlfn._xlws.FILTER(Cartographie_non_cyber_serveurs[Champ d''application],Cartographie_non_cyber_serveurs[Contrôle NIST]=B58)&amp;CHAR(10)),""),
IFERROR(_xlfn.CONCAT(_xlfn._xlws.FILTER(Cartographie_des_serveurs_de_sauvegarde[Champ d''application],Cartographie_des_serveurs_de_sauvegarde[Contrôle NIST]=B58)&amp;CHAR(10)),""),
)</f>
        <v/>
      </c>
      <c r="L58" s="288">
        <f>SUMIF(Cartographie_Solutions_Sur_Site[Contrôle NIST],B58,Cartographie_Solutions_Sur_Site[Émissions totales de carbone du NIST (kgCO2e)])
+SUMIF(Cartographie_Solutions_sur_Cloud[Contrôle NIST],B58,Cartographie_Solutions_sur_Cloud[Émissions totales de carbone du NIST (kgCO2e)])</f>
        <v>0</v>
      </c>
      <c r="M58" s="289" t="str" cm="1">
        <f t="array" ref="M58">_xlfn.CONCAT(
IFERROR(_xlfn.CONCAT(_xlfn._xlws.FILTER(Cartographie_Solutions_Sur_Site[Nom de l''application],#REF!=B58)&amp;CHAR(10)),""),
IFERROR(_xlfn.CONCAT(_xlfn._xlws.FILTER(Cartographie_Solutions_sur_Cloud[Nom de l''application],#REF!=B58)&amp;CHAR(10)),"")
)</f>
        <v/>
      </c>
      <c r="N58" s="288">
        <f>SUMIF(Cartographie_des_TM_externes[Contrôle NIST],B58,Cartographie_des_TM_externes[Émissions de carbone du NIST (kgCO2e)])
+SUMIF(Cartographie_des_externes_prix_fixes[Contrôle NIST],B58,Cartographie_des_externes_prix_fixes[Émissions de carbone du NIST (kgCO2e)])</f>
        <v>0</v>
      </c>
      <c r="O58" s="289" t="str" cm="1">
        <f t="array" ref="O58">_xlfn.CONCAT(
IFERROR(_xlfn.CONCAT(_xlfn._xlws.FILTER(Cartographie_des_TM_externes[Nom du service],#REF!=B58)&amp;CHAR(10)),""),
IFERROR(_xlfn.CONCAT(_xlfn._xlws.FILTER(Cartographie_des_externes_prix_fixes[Nom du service],#REF!=B58)&amp;CHAR(10)),""))</f>
        <v/>
      </c>
      <c r="P58" s="288">
        <f>SUMIF(Cartographie_voyage[Contrôle NIST],B58,Cartographie_voyage[Émissions totales (kgC02e)])</f>
        <v>0</v>
      </c>
      <c r="Q58" s="290" t="str" cm="1">
        <f t="array" ref="Q58">IFERROR(_xlfn.CONCAT(_xlfn._xlws.FILTER(Cartographie_voyage[Type de transport],Cartographie_voyage[Contrôle NIST]=B58)&amp;CHAR(10)),"")</f>
        <v/>
      </c>
      <c r="R58" s="288">
        <f>SUMIF(Cartographie_poste_de_travail_non_cyber_ordinateur_portable[Contrôle NIST],B58,Cartographie_poste_de_travail_non_cyber_ordinateur_portable[Émissions totales (kgC02e)])
+SUMIF(Cartographie_poste_de_travail_non_cyber_ordinateur_de_bureau[Contrôle NIST],B58,Cartographie_poste_de_travail_non_cyber_ordinateur_de_bureau[Émissions totales (kgC02e)])
+SUMIF(Cartographie_non_cyber_VDI[Contrôle NIST],B58,Cartographie_non_cyber_VDI[Émissions totales (kgC02e)])
+SUMIF(Cartographie_non_cyber_serveurs[Contrôle NIST],B58,Cartographie_non_cyber_serveurs[Émissions totales (kgC02e)])</f>
        <v>0</v>
      </c>
      <c r="S58" s="289" t="str" cm="1">
        <f t="array" ref="S58">_xlfn.CONCAT(
IFERROR(_xlfn.CONCAT(_xlfn._xlws.FILTER(Cartographie_poste_de_travail_non_cyber_ordinateur_portable[Champ d''application],Cartographie_poste_de_travail_non_cyber_ordinateur_portable[Contrôle NIST]=B58)&amp;CHAR(10)),""),
IFERROR(_xlfn.CONCAT(_xlfn._xlws.FILTER(Cartographie_poste_de_travail_non_cyber_ordinateur_de_bureau[Champ d''application],Cartographie_poste_de_travail_non_cyber_ordinateur_de_bureau[Contrôle NIST]=B58)&amp;CHAR(10)),""),
IFERROR(_xlfn.CONCAT(_xlfn._xlws.FILTER(Cartographie_non_cyber_VDI[Champ d''application],Cartographie_non_cyber_VDI[Contrôle NIST]=B58)&amp;CHAR(10)),""),
IFERROR(_xlfn.CONCAT(_xlfn._xlws.FILTER(Cartographie_non_cyber_serveurs[Champ d''application],Cartographie_non_cyber_serveurs[Contrôle NIST]=B58)&amp;CHAR(10)),"")
)</f>
        <v/>
      </c>
    </row>
    <row r="59" spans="1:19" ht="73.5" customHeight="1" x14ac:dyDescent="0.3">
      <c r="A59" s="284" t="s">
        <v>8</v>
      </c>
      <c r="B59" s="285" t="s">
        <v>52</v>
      </c>
      <c r="C59" s="284" t="s">
        <v>495</v>
      </c>
      <c r="D5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59" s="287">
        <f>Tableau_de_bord_par_contrôle[[#This Row],[Émissions annuelles totales de CO2e(kgCO2e)]]/(1000*Total)</f>
        <v>0</v>
      </c>
      <c r="F59" s="288">
        <f xml:space="preserve">
SUMIF(Cartographie_des_appareils_poste_de_travail_ordinateur_portable[Contrôle NIST],B59,Cartographie_des_appareils_poste_de_travail_ordinateur_portable[Émissions totales (kgC02e)])
+SUMIF(Cartographie_des_appareils_poste_de_travail_ordinateur_de_bureau[Contrôle NIST],B59,Cartographie_des_appareils_poste_de_travail_ordinateur_de_bureau[Émissions totales (kgC02e)])
+SUMIF(Cartographie_des_appareils_écrans[Contrôle NIST],B59,Cartographie_des_appareils_écrans[Émissions totales (kgC02e)])+SUMIF(Cartographie_des_appareils_Smartphones[Contrôle NIST],B59,Cartographie_des_appareils_Smartphones[Émissions totales (kgC02e)])</f>
        <v>0</v>
      </c>
      <c r="G59" s="289" t="str" cm="1">
        <f t="array" ref="G59">_xlfn.CONCAT(
IFERROR(_xlfn.CONCAT(_xlfn._xlws.FILTER(Cartographie_des_appareils_poste_de_travail_ordinateur_portable[Champ d''application],Cartographie_des_appareils_poste_de_travail_ordinateur_portable[Contrôle NIST]=B59)&amp;CHAR(10)),""),
IFERROR(_xlfn.CONCAT(_xlfn._xlws.FILTER(#REF!,#REF!=B59)&amp;CHAR(10)),""),
IFERROR(_xlfn.CONCAT(_xlfn._xlws.FILTER(Cartographie_des_appareils_écrans[Champ d''application],Cartographie_des_appareils_écrans[Contrôle NIST]=B59)&amp;CHAR(10)),""),
IFERROR(_xlfn.CONCAT(_xlfn._xlws.FILTER(Cartographie_des_appareils_Smartphones[Champ d''application],Cartographie_des_appareils_Smartphones[Contrôle NIST]=B59)&amp;CHAR(10)),"")
)</f>
        <v/>
      </c>
      <c r="H59" s="288">
        <f>SUMIF(Cartographie_des_appareils[Contrôle NIST],B59,Cartographie_des_appareils[Émissions totales (kgC02e)])</f>
        <v>0</v>
      </c>
      <c r="I59" s="289" t="str" cm="1">
        <f t="array" ref="I59">IFERROR(_xlfn.CONCAT(_xlfn._xlws.FILTER(Cartographie_des_appareils[Champ d''application],Cartographie_des_appareils[Contrôle NIST]=B59)&amp;CHAR(10)),"")</f>
        <v/>
      </c>
      <c r="J59" s="288">
        <f>SUMIF(Cartographie_des_serveurs_de_sauvegarde[Contrôle NIST],B59,Cartographie_des_serveurs_de_sauvegarde[Émissions totales (kgC02e)])</f>
        <v>0</v>
      </c>
      <c r="K59" s="289" t="str" cm="1">
        <f t="array" ref="K59">_xlfn.CONCAT(
IFERROR(_xlfn.CONCAT(_xlfn._xlws.FILTER(Cartographie_non_cyber_serveurs[Champ d''application],Cartographie_non_cyber_serveurs[Contrôle NIST]=B59)&amp;CHAR(10)),""),
IFERROR(_xlfn.CONCAT(_xlfn._xlws.FILTER(Cartographie_des_serveurs_de_sauvegarde[Champ d''application],Cartographie_des_serveurs_de_sauvegarde[Contrôle NIST]=B59)&amp;CHAR(10)),""),
)</f>
        <v/>
      </c>
      <c r="L59" s="288">
        <f>SUMIF(Cartographie_Solutions_Sur_Site[Contrôle NIST],B59,Cartographie_Solutions_Sur_Site[Émissions totales de carbone du NIST (kgCO2e)])
+SUMIF(Cartographie_Solutions_sur_Cloud[Contrôle NIST],B59,Cartographie_Solutions_sur_Cloud[Émissions totales de carbone du NIST (kgCO2e)])</f>
        <v>0</v>
      </c>
      <c r="M59" s="289" t="str" cm="1">
        <f t="array" ref="M59">_xlfn.CONCAT(
IFERROR(_xlfn.CONCAT(_xlfn._xlws.FILTER(Cartographie_Solutions_Sur_Site[Nom de l''application],#REF!=B59)&amp;CHAR(10)),""),
IFERROR(_xlfn.CONCAT(_xlfn._xlws.FILTER(Cartographie_Solutions_sur_Cloud[Nom de l''application],#REF!=B59)&amp;CHAR(10)),"")
)</f>
        <v/>
      </c>
      <c r="N59" s="288">
        <f>SUMIF(Cartographie_des_TM_externes[Contrôle NIST],B59,Cartographie_des_TM_externes[Émissions de carbone du NIST (kgCO2e)])
+SUMIF(Cartographie_des_externes_prix_fixes[Contrôle NIST],B59,Cartographie_des_externes_prix_fixes[Émissions de carbone du NIST (kgCO2e)])</f>
        <v>0</v>
      </c>
      <c r="O59" s="289" t="str" cm="1">
        <f t="array" ref="O59">_xlfn.CONCAT(
IFERROR(_xlfn.CONCAT(_xlfn._xlws.FILTER(Cartographie_des_TM_externes[Nom du service],#REF!=B59)&amp;CHAR(10)),""),
IFERROR(_xlfn.CONCAT(_xlfn._xlws.FILTER(Cartographie_des_externes_prix_fixes[Nom du service],#REF!=B59)&amp;CHAR(10)),""))</f>
        <v/>
      </c>
      <c r="P59" s="288">
        <f>SUMIF(Cartographie_voyage[Contrôle NIST],B59,Cartographie_voyage[Émissions totales (kgC02e)])</f>
        <v>0</v>
      </c>
      <c r="Q59" s="290" t="str" cm="1">
        <f t="array" ref="Q59">IFERROR(_xlfn.CONCAT(_xlfn._xlws.FILTER(Cartographie_voyage[Type de transport],Cartographie_voyage[Contrôle NIST]=B59)&amp;CHAR(10)),"")</f>
        <v/>
      </c>
      <c r="R59" s="288">
        <f>SUMIF(Cartographie_poste_de_travail_non_cyber_ordinateur_portable[Contrôle NIST],B59,Cartographie_poste_de_travail_non_cyber_ordinateur_portable[Émissions totales (kgC02e)])
+SUMIF(Cartographie_poste_de_travail_non_cyber_ordinateur_de_bureau[Contrôle NIST],B59,Cartographie_poste_de_travail_non_cyber_ordinateur_de_bureau[Émissions totales (kgC02e)])
+SUMIF(Cartographie_non_cyber_VDI[Contrôle NIST],B59,Cartographie_non_cyber_VDI[Émissions totales (kgC02e)])
+SUMIF(Cartographie_non_cyber_serveurs[Contrôle NIST],B59,Cartographie_non_cyber_serveurs[Émissions totales (kgC02e)])</f>
        <v>0</v>
      </c>
      <c r="S59" s="289" t="str" cm="1">
        <f t="array" ref="S59">_xlfn.CONCAT(
IFERROR(_xlfn.CONCAT(_xlfn._xlws.FILTER(Cartographie_poste_de_travail_non_cyber_ordinateur_portable[Champ d''application],Cartographie_poste_de_travail_non_cyber_ordinateur_portable[Contrôle NIST]=B59)&amp;CHAR(10)),""),
IFERROR(_xlfn.CONCAT(_xlfn._xlws.FILTER(Cartographie_poste_de_travail_non_cyber_ordinateur_de_bureau[Champ d''application],Cartographie_poste_de_travail_non_cyber_ordinateur_de_bureau[Contrôle NIST]=B59)&amp;CHAR(10)),""),
IFERROR(_xlfn.CONCAT(_xlfn._xlws.FILTER(Cartographie_non_cyber_VDI[Champ d''application],Cartographie_non_cyber_VDI[Contrôle NIST]=B59)&amp;CHAR(10)),""),
IFERROR(_xlfn.CONCAT(_xlfn._xlws.FILTER(Cartographie_non_cyber_serveurs[Champ d''application],Cartographie_non_cyber_serveurs[Contrôle NIST]=B59)&amp;CHAR(10)),"")
)</f>
        <v/>
      </c>
    </row>
    <row r="60" spans="1:19" ht="73.5" customHeight="1" x14ac:dyDescent="0.3">
      <c r="A60" s="284" t="s">
        <v>8</v>
      </c>
      <c r="B60" s="285" t="s">
        <v>53</v>
      </c>
      <c r="C60" s="284" t="s">
        <v>496</v>
      </c>
      <c r="D6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0" s="287">
        <f>Tableau_de_bord_par_contrôle[[#This Row],[Émissions annuelles totales de CO2e(kgCO2e)]]/(1000*Total)</f>
        <v>0</v>
      </c>
      <c r="F60" s="288">
        <f xml:space="preserve">
SUMIF(Cartographie_des_appareils_poste_de_travail_ordinateur_portable[Contrôle NIST],B60,Cartographie_des_appareils_poste_de_travail_ordinateur_portable[Émissions totales (kgC02e)])
+SUMIF(Cartographie_des_appareils_poste_de_travail_ordinateur_de_bureau[Contrôle NIST],B60,Cartographie_des_appareils_poste_de_travail_ordinateur_de_bureau[Émissions totales (kgC02e)])
+SUMIF(Cartographie_des_appareils_écrans[Contrôle NIST],B60,Cartographie_des_appareils_écrans[Émissions totales (kgC02e)])+SUMIF(Cartographie_des_appareils_Smartphones[Contrôle NIST],B60,Cartographie_des_appareils_Smartphones[Émissions totales (kgC02e)])</f>
        <v>0</v>
      </c>
      <c r="G60" s="289" t="str" cm="1">
        <f t="array" ref="G60">_xlfn.CONCAT(
IFERROR(_xlfn.CONCAT(_xlfn._xlws.FILTER(Cartographie_des_appareils_poste_de_travail_ordinateur_portable[Champ d''application],Cartographie_des_appareils_poste_de_travail_ordinateur_portable[Contrôle NIST]=B60)&amp;CHAR(10)),""),
IFERROR(_xlfn.CONCAT(_xlfn._xlws.FILTER(#REF!,#REF!=B60)&amp;CHAR(10)),""),
IFERROR(_xlfn.CONCAT(_xlfn._xlws.FILTER(Cartographie_des_appareils_écrans[Champ d''application],Cartographie_des_appareils_écrans[Contrôle NIST]=B60)&amp;CHAR(10)),""),
IFERROR(_xlfn.CONCAT(_xlfn._xlws.FILTER(Cartographie_des_appareils_Smartphones[Champ d''application],Cartographie_des_appareils_Smartphones[Contrôle NIST]=B60)&amp;CHAR(10)),"")
)</f>
        <v/>
      </c>
      <c r="H60" s="288">
        <f>SUMIF(Cartographie_des_appareils[Contrôle NIST],B60,Cartographie_des_appareils[Émissions totales (kgC02e)])</f>
        <v>0</v>
      </c>
      <c r="I60" s="289" t="str" cm="1">
        <f t="array" ref="I60">IFERROR(_xlfn.CONCAT(_xlfn._xlws.FILTER(Cartographie_des_appareils[Champ d''application],Cartographie_des_appareils[Contrôle NIST]=B60)&amp;CHAR(10)),"")</f>
        <v/>
      </c>
      <c r="J60" s="288">
        <f>SUMIF(Cartographie_des_serveurs_de_sauvegarde[Contrôle NIST],B60,Cartographie_des_serveurs_de_sauvegarde[Émissions totales (kgC02e)])</f>
        <v>0</v>
      </c>
      <c r="K60" s="289" t="str" cm="1">
        <f t="array" ref="K60">_xlfn.CONCAT(
IFERROR(_xlfn.CONCAT(_xlfn._xlws.FILTER(Cartographie_non_cyber_serveurs[Champ d''application],Cartographie_non_cyber_serveurs[Contrôle NIST]=B60)&amp;CHAR(10)),""),
IFERROR(_xlfn.CONCAT(_xlfn._xlws.FILTER(Cartographie_des_serveurs_de_sauvegarde[Champ d''application],Cartographie_des_serveurs_de_sauvegarde[Contrôle NIST]=B60)&amp;CHAR(10)),""),
)</f>
        <v/>
      </c>
      <c r="L60" s="288">
        <f>SUMIF(Cartographie_Solutions_Sur_Site[Contrôle NIST],B60,Cartographie_Solutions_Sur_Site[Émissions totales de carbone du NIST (kgCO2e)])
+SUMIF(Cartographie_Solutions_sur_Cloud[Contrôle NIST],B60,Cartographie_Solutions_sur_Cloud[Émissions totales de carbone du NIST (kgCO2e)])</f>
        <v>0</v>
      </c>
      <c r="M60" s="289" t="str" cm="1">
        <f t="array" ref="M60">_xlfn.CONCAT(
IFERROR(_xlfn.CONCAT(_xlfn._xlws.FILTER(Cartographie_Solutions_Sur_Site[Nom de l''application],#REF!=B60)&amp;CHAR(10)),""),
IFERROR(_xlfn.CONCAT(_xlfn._xlws.FILTER(Cartographie_Solutions_sur_Cloud[Nom de l''application],#REF!=B60)&amp;CHAR(10)),"")
)</f>
        <v/>
      </c>
      <c r="N60" s="288">
        <f>SUMIF(Cartographie_des_TM_externes[Contrôle NIST],B60,Cartographie_des_TM_externes[Émissions de carbone du NIST (kgCO2e)])
+SUMIF(Cartographie_des_externes_prix_fixes[Contrôle NIST],B60,Cartographie_des_externes_prix_fixes[Émissions de carbone du NIST (kgCO2e)])</f>
        <v>0</v>
      </c>
      <c r="O60" s="289" t="str" cm="1">
        <f t="array" ref="O60">_xlfn.CONCAT(
IFERROR(_xlfn.CONCAT(_xlfn._xlws.FILTER(Cartographie_des_TM_externes[Nom du service],#REF!=B60)&amp;CHAR(10)),""),
IFERROR(_xlfn.CONCAT(_xlfn._xlws.FILTER(Cartographie_des_externes_prix_fixes[Nom du service],#REF!=B60)&amp;CHAR(10)),""))</f>
        <v/>
      </c>
      <c r="P60" s="288">
        <f>SUMIF(Cartographie_voyage[Contrôle NIST],B60,Cartographie_voyage[Émissions totales (kgC02e)])</f>
        <v>0</v>
      </c>
      <c r="Q60" s="290" t="str" cm="1">
        <f t="array" ref="Q60">IFERROR(_xlfn.CONCAT(_xlfn._xlws.FILTER(Cartographie_voyage[Type de transport],Cartographie_voyage[Contrôle NIST]=B60)&amp;CHAR(10)),"")</f>
        <v/>
      </c>
      <c r="R60" s="288">
        <f>SUMIF(Cartographie_poste_de_travail_non_cyber_ordinateur_portable[Contrôle NIST],B60,Cartographie_poste_de_travail_non_cyber_ordinateur_portable[Émissions totales (kgC02e)])
+SUMIF(Cartographie_poste_de_travail_non_cyber_ordinateur_de_bureau[Contrôle NIST],B60,Cartographie_poste_de_travail_non_cyber_ordinateur_de_bureau[Émissions totales (kgC02e)])
+SUMIF(Cartographie_non_cyber_VDI[Contrôle NIST],B60,Cartographie_non_cyber_VDI[Émissions totales (kgC02e)])
+SUMIF(Cartographie_non_cyber_serveurs[Contrôle NIST],B60,Cartographie_non_cyber_serveurs[Émissions totales (kgC02e)])</f>
        <v>0</v>
      </c>
      <c r="S60" s="289" t="str" cm="1">
        <f t="array" ref="S60">_xlfn.CONCAT(
IFERROR(_xlfn.CONCAT(_xlfn._xlws.FILTER(Cartographie_poste_de_travail_non_cyber_ordinateur_portable[Champ d''application],Cartographie_poste_de_travail_non_cyber_ordinateur_portable[Contrôle NIST]=B60)&amp;CHAR(10)),""),
IFERROR(_xlfn.CONCAT(_xlfn._xlws.FILTER(Cartographie_poste_de_travail_non_cyber_ordinateur_de_bureau[Champ d''application],Cartographie_poste_de_travail_non_cyber_ordinateur_de_bureau[Contrôle NIST]=B60)&amp;CHAR(10)),""),
IFERROR(_xlfn.CONCAT(_xlfn._xlws.FILTER(Cartographie_non_cyber_VDI[Champ d''application],Cartographie_non_cyber_VDI[Contrôle NIST]=B60)&amp;CHAR(10)),""),
IFERROR(_xlfn.CONCAT(_xlfn._xlws.FILTER(Cartographie_non_cyber_serveurs[Champ d''application],Cartographie_non_cyber_serveurs[Contrôle NIST]=B60)&amp;CHAR(10)),"")
)</f>
        <v/>
      </c>
    </row>
    <row r="61" spans="1:19" ht="73.5" customHeight="1" x14ac:dyDescent="0.3">
      <c r="A61" s="284" t="s">
        <v>8</v>
      </c>
      <c r="B61" s="285" t="s">
        <v>54</v>
      </c>
      <c r="C61" s="284" t="s">
        <v>497</v>
      </c>
      <c r="D6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1" s="287">
        <f>Tableau_de_bord_par_contrôle[[#This Row],[Émissions annuelles totales de CO2e(kgCO2e)]]/(1000*Total)</f>
        <v>0</v>
      </c>
      <c r="F61" s="288">
        <f xml:space="preserve">
SUMIF(Cartographie_des_appareils_poste_de_travail_ordinateur_portable[Contrôle NIST],B61,Cartographie_des_appareils_poste_de_travail_ordinateur_portable[Émissions totales (kgC02e)])
+SUMIF(Cartographie_des_appareils_poste_de_travail_ordinateur_de_bureau[Contrôle NIST],B61,Cartographie_des_appareils_poste_de_travail_ordinateur_de_bureau[Émissions totales (kgC02e)])
+SUMIF(Cartographie_des_appareils_écrans[Contrôle NIST],B61,Cartographie_des_appareils_écrans[Émissions totales (kgC02e)])+SUMIF(Cartographie_des_appareils_Smartphones[Contrôle NIST],B61,Cartographie_des_appareils_Smartphones[Émissions totales (kgC02e)])</f>
        <v>0</v>
      </c>
      <c r="G61" s="289" t="str" cm="1">
        <f t="array" ref="G61">_xlfn.CONCAT(
IFERROR(_xlfn.CONCAT(_xlfn._xlws.FILTER(Cartographie_des_appareils_poste_de_travail_ordinateur_portable[Champ d''application],Cartographie_des_appareils_poste_de_travail_ordinateur_portable[Contrôle NIST]=B61)&amp;CHAR(10)),""),
IFERROR(_xlfn.CONCAT(_xlfn._xlws.FILTER(#REF!,#REF!=B61)&amp;CHAR(10)),""),
IFERROR(_xlfn.CONCAT(_xlfn._xlws.FILTER(Cartographie_des_appareils_écrans[Champ d''application],Cartographie_des_appareils_écrans[Contrôle NIST]=B61)&amp;CHAR(10)),""),
IFERROR(_xlfn.CONCAT(_xlfn._xlws.FILTER(Cartographie_des_appareils_Smartphones[Champ d''application],Cartographie_des_appareils_Smartphones[Contrôle NIST]=B61)&amp;CHAR(10)),"")
)</f>
        <v/>
      </c>
      <c r="H61" s="288">
        <f>SUMIF(Cartographie_des_appareils[Contrôle NIST],B61,Cartographie_des_appareils[Émissions totales (kgC02e)])</f>
        <v>0</v>
      </c>
      <c r="I61" s="289" t="str" cm="1">
        <f t="array" ref="I61">IFERROR(_xlfn.CONCAT(_xlfn._xlws.FILTER(Cartographie_des_appareils[Champ d''application],Cartographie_des_appareils[Contrôle NIST]=B61)&amp;CHAR(10)),"")</f>
        <v/>
      </c>
      <c r="J61" s="288">
        <f>SUMIF(Cartographie_des_serveurs_de_sauvegarde[Contrôle NIST],B61,Cartographie_des_serveurs_de_sauvegarde[Émissions totales (kgC02e)])</f>
        <v>0</v>
      </c>
      <c r="K61" s="289" t="str" cm="1">
        <f t="array" ref="K61">_xlfn.CONCAT(
IFERROR(_xlfn.CONCAT(_xlfn._xlws.FILTER(Cartographie_non_cyber_serveurs[Champ d''application],Cartographie_non_cyber_serveurs[Contrôle NIST]=B61)&amp;CHAR(10)),""),
IFERROR(_xlfn.CONCAT(_xlfn._xlws.FILTER(Cartographie_des_serveurs_de_sauvegarde[Champ d''application],Cartographie_des_serveurs_de_sauvegarde[Contrôle NIST]=B61)&amp;CHAR(10)),""),
)</f>
        <v/>
      </c>
      <c r="L61" s="288">
        <f>SUMIF(Cartographie_Solutions_Sur_Site[Contrôle NIST],B61,Cartographie_Solutions_Sur_Site[Émissions totales de carbone du NIST (kgCO2e)])
+SUMIF(Cartographie_Solutions_sur_Cloud[Contrôle NIST],B61,Cartographie_Solutions_sur_Cloud[Émissions totales de carbone du NIST (kgCO2e)])</f>
        <v>0</v>
      </c>
      <c r="M61" s="289" t="str" cm="1">
        <f t="array" ref="M61">_xlfn.CONCAT(
IFERROR(_xlfn.CONCAT(_xlfn._xlws.FILTER(Cartographie_Solutions_Sur_Site[Nom de l''application],#REF!=B61)&amp;CHAR(10)),""),
IFERROR(_xlfn.CONCAT(_xlfn._xlws.FILTER(Cartographie_Solutions_sur_Cloud[Nom de l''application],#REF!=B61)&amp;CHAR(10)),"")
)</f>
        <v/>
      </c>
      <c r="N61" s="288">
        <f>SUMIF(Cartographie_des_TM_externes[Contrôle NIST],B61,Cartographie_des_TM_externes[Émissions de carbone du NIST (kgCO2e)])
+SUMIF(Cartographie_des_externes_prix_fixes[Contrôle NIST],B61,Cartographie_des_externes_prix_fixes[Émissions de carbone du NIST (kgCO2e)])</f>
        <v>0</v>
      </c>
      <c r="O61" s="289" t="str" cm="1">
        <f t="array" ref="O61">_xlfn.CONCAT(
IFERROR(_xlfn.CONCAT(_xlfn._xlws.FILTER(Cartographie_des_TM_externes[Nom du service],#REF!=B61)&amp;CHAR(10)),""),
IFERROR(_xlfn.CONCAT(_xlfn._xlws.FILTER(Cartographie_des_externes_prix_fixes[Nom du service],#REF!=B61)&amp;CHAR(10)),""))</f>
        <v/>
      </c>
      <c r="P61" s="288">
        <f>SUMIF(Cartographie_voyage[Contrôle NIST],B61,Cartographie_voyage[Émissions totales (kgC02e)])</f>
        <v>0</v>
      </c>
      <c r="Q61" s="290" t="str" cm="1">
        <f t="array" ref="Q61">IFERROR(_xlfn.CONCAT(_xlfn._xlws.FILTER(Cartographie_voyage[Type de transport],Cartographie_voyage[Contrôle NIST]=B61)&amp;CHAR(10)),"")</f>
        <v/>
      </c>
      <c r="R61" s="288">
        <f>SUMIF(Cartographie_poste_de_travail_non_cyber_ordinateur_portable[Contrôle NIST],B61,Cartographie_poste_de_travail_non_cyber_ordinateur_portable[Émissions totales (kgC02e)])
+SUMIF(Cartographie_poste_de_travail_non_cyber_ordinateur_de_bureau[Contrôle NIST],B61,Cartographie_poste_de_travail_non_cyber_ordinateur_de_bureau[Émissions totales (kgC02e)])
+SUMIF(Cartographie_non_cyber_VDI[Contrôle NIST],B61,Cartographie_non_cyber_VDI[Émissions totales (kgC02e)])
+SUMIF(Cartographie_non_cyber_serveurs[Contrôle NIST],B61,Cartographie_non_cyber_serveurs[Émissions totales (kgC02e)])</f>
        <v>0</v>
      </c>
      <c r="S61" s="289" t="str" cm="1">
        <f t="array" ref="S61">_xlfn.CONCAT(
IFERROR(_xlfn.CONCAT(_xlfn._xlws.FILTER(Cartographie_poste_de_travail_non_cyber_ordinateur_portable[Champ d''application],Cartographie_poste_de_travail_non_cyber_ordinateur_portable[Contrôle NIST]=B61)&amp;CHAR(10)),""),
IFERROR(_xlfn.CONCAT(_xlfn._xlws.FILTER(Cartographie_poste_de_travail_non_cyber_ordinateur_de_bureau[Champ d''application],Cartographie_poste_de_travail_non_cyber_ordinateur_de_bureau[Contrôle NIST]=B61)&amp;CHAR(10)),""),
IFERROR(_xlfn.CONCAT(_xlfn._xlws.FILTER(Cartographie_non_cyber_VDI[Champ d''application],Cartographie_non_cyber_VDI[Contrôle NIST]=B61)&amp;CHAR(10)),""),
IFERROR(_xlfn.CONCAT(_xlfn._xlws.FILTER(Cartographie_non_cyber_serveurs[Champ d''application],Cartographie_non_cyber_serveurs[Contrôle NIST]=B61)&amp;CHAR(10)),"")
)</f>
        <v/>
      </c>
    </row>
    <row r="62" spans="1:19" ht="73.5" customHeight="1" x14ac:dyDescent="0.3">
      <c r="A62" s="284" t="s">
        <v>9</v>
      </c>
      <c r="B62" s="285" t="s">
        <v>55</v>
      </c>
      <c r="C62" s="284" t="s">
        <v>741</v>
      </c>
      <c r="D6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15972.790834285715</v>
      </c>
      <c r="E62" s="287">
        <f>Tableau_de_bord_par_contrôle[[#This Row],[Émissions annuelles totales de CO2e(kgCO2e)]]/(1000*Total)</f>
        <v>2.8420918354681076E-3</v>
      </c>
      <c r="F62" s="288">
        <f xml:space="preserve">
SUMIF(Cartographie_des_appareils_poste_de_travail_ordinateur_portable[Contrôle NIST],B62,Cartographie_des_appareils_poste_de_travail_ordinateur_portable[Émissions totales (kgC02e)])
+SUMIF(Cartographie_des_appareils_poste_de_travail_ordinateur_de_bureau[Contrôle NIST],B62,Cartographie_des_appareils_poste_de_travail_ordinateur_de_bureau[Émissions totales (kgC02e)])
+SUMIF(Cartographie_des_appareils_écrans[Contrôle NIST],B62,Cartographie_des_appareils_écrans[Émissions totales (kgC02e)])+SUMIF(Cartographie_des_appareils_Smartphones[Contrôle NIST],B62,Cartographie_des_appareils_Smartphones[Émissions totales (kgC02e)])</f>
        <v>0</v>
      </c>
      <c r="G62" s="289" t="str" cm="1">
        <f t="array" ref="G62">_xlfn.CONCAT(
IFERROR(_xlfn.CONCAT(_xlfn._xlws.FILTER(Cartographie_des_appareils_poste_de_travail_ordinateur_portable[Champ d''application],Cartographie_des_appareils_poste_de_travail_ordinateur_portable[Contrôle NIST]=B62)&amp;CHAR(10)),""),
IFERROR(_xlfn.CONCAT(_xlfn._xlws.FILTER(#REF!,#REF!=B62)&amp;CHAR(10)),""),
IFERROR(_xlfn.CONCAT(_xlfn._xlws.FILTER(Cartographie_des_appareils_écrans[Champ d''application],Cartographie_des_appareils_écrans[Contrôle NIST]=B62)&amp;CHAR(10)),""),
IFERROR(_xlfn.CONCAT(_xlfn._xlws.FILTER(Cartographie_des_appareils_Smartphones[Champ d''application],Cartographie_des_appareils_Smartphones[Contrôle NIST]=B62)&amp;CHAR(10)),"")
)</f>
        <v/>
      </c>
      <c r="H62" s="288">
        <f>SUMIF(Cartographie_des_appareils[Contrôle NIST],B62,Cartographie_des_appareils[Émissions totales (kgC02e)])</f>
        <v>15972.790834285715</v>
      </c>
      <c r="I62" s="289" t="str" cm="1">
        <f t="array" ref="I62">IFERROR(_xlfn.CONCAT(_xlfn._xlws.FILTER(Cartographie_des_appareils[Champ d''application],Cartographie_des_appareils[Contrôle NIST]=B62)&amp;CHAR(10)),"")</f>
        <v xml:space="preserve">Pare-feu/WAF dans toute l'entreprise
</v>
      </c>
      <c r="J62" s="288">
        <f>SUMIF(Cartographie_des_serveurs_de_sauvegarde[Contrôle NIST],B62,Cartographie_des_serveurs_de_sauvegarde[Émissions totales (kgC02e)])</f>
        <v>0</v>
      </c>
      <c r="K62" s="289" t="str" cm="1">
        <f t="array" ref="K62">_xlfn.CONCAT(
IFERROR(_xlfn.CONCAT(_xlfn._xlws.FILTER(Cartographie_non_cyber_serveurs[Champ d''application],Cartographie_non_cyber_serveurs[Contrôle NIST]=B62)&amp;CHAR(10)),""),
IFERROR(_xlfn.CONCAT(_xlfn._xlws.FILTER(Cartographie_des_serveurs_de_sauvegarde[Champ d''application],Cartographie_des_serveurs_de_sauvegarde[Contrôle NIST]=B62)&amp;CHAR(10)),""),
)</f>
        <v/>
      </c>
      <c r="L62" s="288">
        <f>SUMIF(Cartographie_Solutions_Sur_Site[Contrôle NIST],B62,Cartographie_Solutions_Sur_Site[Émissions totales de carbone du NIST (kgCO2e)])
+SUMIF(Cartographie_Solutions_sur_Cloud[Contrôle NIST],B62,Cartographie_Solutions_sur_Cloud[Émissions totales de carbone du NIST (kgCO2e)])</f>
        <v>0</v>
      </c>
      <c r="M62" s="289" t="str" cm="1">
        <f t="array" ref="M62">_xlfn.CONCAT(
IFERROR(_xlfn.CONCAT(_xlfn._xlws.FILTER(Cartographie_Solutions_Sur_Site[Nom de l''application],#REF!=B62)&amp;CHAR(10)),""),
IFERROR(_xlfn.CONCAT(_xlfn._xlws.FILTER(Cartographie_Solutions_sur_Cloud[Nom de l''application],#REF!=B62)&amp;CHAR(10)),"")
)</f>
        <v/>
      </c>
      <c r="N62" s="288">
        <f>SUMIF(Cartographie_des_TM_externes[Contrôle NIST],B62,Cartographie_des_TM_externes[Émissions de carbone du NIST (kgCO2e)])
+SUMIF(Cartographie_des_externes_prix_fixes[Contrôle NIST],B62,Cartographie_des_externes_prix_fixes[Émissions de carbone du NIST (kgCO2e)])</f>
        <v>0</v>
      </c>
      <c r="O62" s="289" t="str" cm="1">
        <f t="array" ref="O62">_xlfn.CONCAT(
IFERROR(_xlfn.CONCAT(_xlfn._xlws.FILTER(Cartographie_des_TM_externes[Nom du service],#REF!=B62)&amp;CHAR(10)),""),
IFERROR(_xlfn.CONCAT(_xlfn._xlws.FILTER(Cartographie_des_externes_prix_fixes[Nom du service],#REF!=B62)&amp;CHAR(10)),""))</f>
        <v/>
      </c>
      <c r="P62" s="288">
        <f>SUMIF(Cartographie_voyage[Contrôle NIST],B62,Cartographie_voyage[Émissions totales (kgC02e)])</f>
        <v>0</v>
      </c>
      <c r="Q62" s="290" t="str" cm="1">
        <f t="array" ref="Q62">IFERROR(_xlfn.CONCAT(_xlfn._xlws.FILTER(Cartographie_voyage[Type de transport],Cartographie_voyage[Contrôle NIST]=B62)&amp;CHAR(10)),"")</f>
        <v/>
      </c>
      <c r="R62" s="288">
        <f>SUMIF(Cartographie_poste_de_travail_non_cyber_ordinateur_portable[Contrôle NIST],B62,Cartographie_poste_de_travail_non_cyber_ordinateur_portable[Émissions totales (kgC02e)])
+SUMIF(Cartographie_poste_de_travail_non_cyber_ordinateur_de_bureau[Contrôle NIST],B62,Cartographie_poste_de_travail_non_cyber_ordinateur_de_bureau[Émissions totales (kgC02e)])
+SUMIF(Cartographie_non_cyber_VDI[Contrôle NIST],B62,Cartographie_non_cyber_VDI[Émissions totales (kgC02e)])
+SUMIF(Cartographie_non_cyber_serveurs[Contrôle NIST],B62,Cartographie_non_cyber_serveurs[Émissions totales (kgC02e)])</f>
        <v>0</v>
      </c>
      <c r="S62" s="289" t="str" cm="1">
        <f t="array" ref="S62">_xlfn.CONCAT(
IFERROR(_xlfn.CONCAT(_xlfn._xlws.FILTER(Cartographie_poste_de_travail_non_cyber_ordinateur_portable[Champ d''application],Cartographie_poste_de_travail_non_cyber_ordinateur_portable[Contrôle NIST]=B62)&amp;CHAR(10)),""),
IFERROR(_xlfn.CONCAT(_xlfn._xlws.FILTER(Cartographie_poste_de_travail_non_cyber_ordinateur_de_bureau[Champ d''application],Cartographie_poste_de_travail_non_cyber_ordinateur_de_bureau[Contrôle NIST]=B62)&amp;CHAR(10)),""),
IFERROR(_xlfn.CONCAT(_xlfn._xlws.FILTER(Cartographie_non_cyber_VDI[Champ d''application],Cartographie_non_cyber_VDI[Contrôle NIST]=B62)&amp;CHAR(10)),""),
IFERROR(_xlfn.CONCAT(_xlfn._xlws.FILTER(Cartographie_non_cyber_serveurs[Champ d''application],Cartographie_non_cyber_serveurs[Contrôle NIST]=B62)&amp;CHAR(10)),"")
)</f>
        <v/>
      </c>
    </row>
    <row r="63" spans="1:19" ht="73.5" customHeight="1" x14ac:dyDescent="0.3">
      <c r="A63" s="284" t="s">
        <v>9</v>
      </c>
      <c r="B63" s="285" t="s">
        <v>56</v>
      </c>
      <c r="C63" s="284" t="s">
        <v>498</v>
      </c>
      <c r="D6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3" s="287">
        <f>Tableau_de_bord_par_contrôle[[#This Row],[Émissions annuelles totales de CO2e(kgCO2e)]]/(1000*Total)</f>
        <v>0</v>
      </c>
      <c r="F63" s="288">
        <f xml:space="preserve">
SUMIF(Cartographie_des_appareils_poste_de_travail_ordinateur_portable[Contrôle NIST],B63,Cartographie_des_appareils_poste_de_travail_ordinateur_portable[Émissions totales (kgC02e)])
+SUMIF(Cartographie_des_appareils_poste_de_travail_ordinateur_de_bureau[Contrôle NIST],B63,Cartographie_des_appareils_poste_de_travail_ordinateur_de_bureau[Émissions totales (kgC02e)])
+SUMIF(Cartographie_des_appareils_écrans[Contrôle NIST],B63,Cartographie_des_appareils_écrans[Émissions totales (kgC02e)])+SUMIF(Cartographie_des_appareils_Smartphones[Contrôle NIST],B63,Cartographie_des_appareils_Smartphones[Émissions totales (kgC02e)])</f>
        <v>0</v>
      </c>
      <c r="G63" s="289" t="str" cm="1">
        <f t="array" ref="G63">_xlfn.CONCAT(
IFERROR(_xlfn.CONCAT(_xlfn._xlws.FILTER(Cartographie_des_appareils_poste_de_travail_ordinateur_portable[Champ d''application],Cartographie_des_appareils_poste_de_travail_ordinateur_portable[Contrôle NIST]=B63)&amp;CHAR(10)),""),
IFERROR(_xlfn.CONCAT(_xlfn._xlws.FILTER(#REF!,#REF!=B63)&amp;CHAR(10)),""),
IFERROR(_xlfn.CONCAT(_xlfn._xlws.FILTER(Cartographie_des_appareils_écrans[Champ d''application],Cartographie_des_appareils_écrans[Contrôle NIST]=B63)&amp;CHAR(10)),""),
IFERROR(_xlfn.CONCAT(_xlfn._xlws.FILTER(Cartographie_des_appareils_Smartphones[Champ d''application],Cartographie_des_appareils_Smartphones[Contrôle NIST]=B63)&amp;CHAR(10)),"")
)</f>
        <v/>
      </c>
      <c r="H63" s="288">
        <f>SUMIF(Cartographie_des_appareils[Contrôle NIST],B63,Cartographie_des_appareils[Émissions totales (kgC02e)])</f>
        <v>0</v>
      </c>
      <c r="I63" s="289" t="str" cm="1">
        <f t="array" ref="I63">IFERROR(_xlfn.CONCAT(_xlfn._xlws.FILTER(Cartographie_des_appareils[Champ d''application],Cartographie_des_appareils[Contrôle NIST]=B63)&amp;CHAR(10)),"")</f>
        <v/>
      </c>
      <c r="J63" s="288">
        <f>SUMIF(Cartographie_des_serveurs_de_sauvegarde[Contrôle NIST],B63,Cartographie_des_serveurs_de_sauvegarde[Émissions totales (kgC02e)])</f>
        <v>0</v>
      </c>
      <c r="K63" s="289" t="str" cm="1">
        <f t="array" ref="K63">_xlfn.CONCAT(
IFERROR(_xlfn.CONCAT(_xlfn._xlws.FILTER(Cartographie_non_cyber_serveurs[Champ d''application],Cartographie_non_cyber_serveurs[Contrôle NIST]=B63)&amp;CHAR(10)),""),
IFERROR(_xlfn.CONCAT(_xlfn._xlws.FILTER(Cartographie_des_serveurs_de_sauvegarde[Champ d''application],Cartographie_des_serveurs_de_sauvegarde[Contrôle NIST]=B63)&amp;CHAR(10)),""),
)</f>
        <v/>
      </c>
      <c r="L63" s="288">
        <f>SUMIF(Cartographie_Solutions_Sur_Site[Contrôle NIST],B63,Cartographie_Solutions_Sur_Site[Émissions totales de carbone du NIST (kgCO2e)])
+SUMIF(Cartographie_Solutions_sur_Cloud[Contrôle NIST],B63,Cartographie_Solutions_sur_Cloud[Émissions totales de carbone du NIST (kgCO2e)])</f>
        <v>0</v>
      </c>
      <c r="M63" s="289" t="str" cm="1">
        <f t="array" ref="M63">_xlfn.CONCAT(
IFERROR(_xlfn.CONCAT(_xlfn._xlws.FILTER(Cartographie_Solutions_Sur_Site[Nom de l''application],#REF!=B63)&amp;CHAR(10)),""),
IFERROR(_xlfn.CONCAT(_xlfn._xlws.FILTER(Cartographie_Solutions_sur_Cloud[Nom de l''application],#REF!=B63)&amp;CHAR(10)),"")
)</f>
        <v/>
      </c>
      <c r="N63" s="288">
        <f>SUMIF(Cartographie_des_TM_externes[Contrôle NIST],B63,Cartographie_des_TM_externes[Émissions de carbone du NIST (kgCO2e)])
+SUMIF(Cartographie_des_externes_prix_fixes[Contrôle NIST],B63,Cartographie_des_externes_prix_fixes[Émissions de carbone du NIST (kgCO2e)])</f>
        <v>0</v>
      </c>
      <c r="O63" s="289" t="str" cm="1">
        <f t="array" ref="O63">_xlfn.CONCAT(
IFERROR(_xlfn.CONCAT(_xlfn._xlws.FILTER(Cartographie_des_TM_externes[Nom du service],#REF!=B63)&amp;CHAR(10)),""),
IFERROR(_xlfn.CONCAT(_xlfn._xlws.FILTER(Cartographie_des_externes_prix_fixes[Nom du service],#REF!=B63)&amp;CHAR(10)),""))</f>
        <v/>
      </c>
      <c r="P63" s="288">
        <f>SUMIF(Cartographie_voyage[Contrôle NIST],B63,Cartographie_voyage[Émissions totales (kgC02e)])</f>
        <v>0</v>
      </c>
      <c r="Q63" s="290" t="str" cm="1">
        <f t="array" ref="Q63">IFERROR(_xlfn.CONCAT(_xlfn._xlws.FILTER(Cartographie_voyage[Type de transport],Cartographie_voyage[Contrôle NIST]=B63)&amp;CHAR(10)),"")</f>
        <v/>
      </c>
      <c r="R63" s="288">
        <f>SUMIF(Cartographie_poste_de_travail_non_cyber_ordinateur_portable[Contrôle NIST],B63,Cartographie_poste_de_travail_non_cyber_ordinateur_portable[Émissions totales (kgC02e)])
+SUMIF(Cartographie_poste_de_travail_non_cyber_ordinateur_de_bureau[Contrôle NIST],B63,Cartographie_poste_de_travail_non_cyber_ordinateur_de_bureau[Émissions totales (kgC02e)])
+SUMIF(Cartographie_non_cyber_VDI[Contrôle NIST],B63,Cartographie_non_cyber_VDI[Émissions totales (kgC02e)])
+SUMIF(Cartographie_non_cyber_serveurs[Contrôle NIST],B63,Cartographie_non_cyber_serveurs[Émissions totales (kgC02e)])</f>
        <v>0</v>
      </c>
      <c r="S63" s="289" t="str" cm="1">
        <f t="array" ref="S63">_xlfn.CONCAT(
IFERROR(_xlfn.CONCAT(_xlfn._xlws.FILTER(Cartographie_poste_de_travail_non_cyber_ordinateur_portable[Champ d''application],Cartographie_poste_de_travail_non_cyber_ordinateur_portable[Contrôle NIST]=B63)&amp;CHAR(10)),""),
IFERROR(_xlfn.CONCAT(_xlfn._xlws.FILTER(Cartographie_poste_de_travail_non_cyber_ordinateur_de_bureau[Champ d''application],Cartographie_poste_de_travail_non_cyber_ordinateur_de_bureau[Contrôle NIST]=B63)&amp;CHAR(10)),""),
IFERROR(_xlfn.CONCAT(_xlfn._xlws.FILTER(Cartographie_non_cyber_VDI[Champ d''application],Cartographie_non_cyber_VDI[Contrôle NIST]=B63)&amp;CHAR(10)),""),
IFERROR(_xlfn.CONCAT(_xlfn._xlws.FILTER(Cartographie_non_cyber_serveurs[Champ d''application],Cartographie_non_cyber_serveurs[Contrôle NIST]=B63)&amp;CHAR(10)),"")
)</f>
        <v/>
      </c>
    </row>
    <row r="64" spans="1:19" ht="73.5" customHeight="1" x14ac:dyDescent="0.3">
      <c r="A64" s="284" t="s">
        <v>9</v>
      </c>
      <c r="B64" s="285" t="s">
        <v>57</v>
      </c>
      <c r="C64" s="284" t="s">
        <v>499</v>
      </c>
      <c r="D6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1238739.6661359216</v>
      </c>
      <c r="E64" s="287">
        <f>Tableau_de_bord_par_contrôle[[#This Row],[Émissions annuelles totales de CO2e(kgCO2e)]]/(1000*Total)</f>
        <v>0.2204130716993033</v>
      </c>
      <c r="F64" s="288">
        <f xml:space="preserve">
SUMIF(Cartographie_des_appareils_poste_de_travail_ordinateur_portable[Contrôle NIST],B64,Cartographie_des_appareils_poste_de_travail_ordinateur_portable[Émissions totales (kgC02e)])
+SUMIF(Cartographie_des_appareils_poste_de_travail_ordinateur_de_bureau[Contrôle NIST],B64,Cartographie_des_appareils_poste_de_travail_ordinateur_de_bureau[Émissions totales (kgC02e)])
+SUMIF(Cartographie_des_appareils_écrans[Contrôle NIST],B64,Cartographie_des_appareils_écrans[Émissions totales (kgC02e)])+SUMIF(Cartographie_des_appareils_Smartphones[Contrôle NIST],B64,Cartographie_des_appareils_Smartphones[Émissions totales (kgC02e)])</f>
        <v>0</v>
      </c>
      <c r="G64" s="289" t="str" cm="1">
        <f t="array" ref="G64">_xlfn.CONCAT(
IFERROR(_xlfn.CONCAT(_xlfn._xlws.FILTER(Cartographie_des_appareils_poste_de_travail_ordinateur_portable[Champ d''application],Cartographie_des_appareils_poste_de_travail_ordinateur_portable[Contrôle NIST]=B64)&amp;CHAR(10)),""),
IFERROR(_xlfn.CONCAT(_xlfn._xlws.FILTER(#REF!,#REF!=B64)&amp;CHAR(10)),""),
IFERROR(_xlfn.CONCAT(_xlfn._xlws.FILTER(Cartographie_des_appareils_écrans[Champ d''application],Cartographie_des_appareils_écrans[Contrôle NIST]=B64)&amp;CHAR(10)),""),
IFERROR(_xlfn.CONCAT(_xlfn._xlws.FILTER(Cartographie_des_appareils_Smartphones[Champ d''application],Cartographie_des_appareils_Smartphones[Contrôle NIST]=B64)&amp;CHAR(10)),"")
)</f>
        <v/>
      </c>
      <c r="H64" s="288">
        <f>SUMIF(Cartographie_des_appareils[Contrôle NIST],B64,Cartographie_des_appareils[Émissions totales (kgC02e)])</f>
        <v>0</v>
      </c>
      <c r="I64" s="289" t="str" cm="1">
        <f t="array" ref="I64">IFERROR(_xlfn.CONCAT(_xlfn._xlws.FILTER(Cartographie_des_appareils[Champ d''application],Cartographie_des_appareils[Contrôle NIST]=B64)&amp;CHAR(10)),"")</f>
        <v/>
      </c>
      <c r="J64" s="288">
        <f>SUMIF(Cartographie_des_serveurs_de_sauvegarde[Contrôle NIST],B64,Cartographie_des_serveurs_de_sauvegarde[Émissions totales (kgC02e)])</f>
        <v>0</v>
      </c>
      <c r="K64" s="289" t="str" cm="1">
        <f t="array" ref="K64">_xlfn.CONCAT(
IFERROR(_xlfn.CONCAT(_xlfn._xlws.FILTER(Cartographie_non_cyber_serveurs[Champ d''application],Cartographie_non_cyber_serveurs[Contrôle NIST]=B64)&amp;CHAR(10)),""),
IFERROR(_xlfn.CONCAT(_xlfn._xlws.FILTER(Cartographie_des_serveurs_de_sauvegarde[Champ d''application],Cartographie_des_serveurs_de_sauvegarde[Contrôle NIST]=B64)&amp;CHAR(10)),""),
)</f>
        <v/>
      </c>
      <c r="L64" s="288">
        <f>SUMIF(Cartographie_Solutions_Sur_Site[Contrôle NIST],B64,Cartographie_Solutions_Sur_Site[Émissions totales de carbone du NIST (kgCO2e)])
+SUMIF(Cartographie_Solutions_sur_Cloud[Contrôle NIST],B64,Cartographie_Solutions_sur_Cloud[Émissions totales de carbone du NIST (kgCO2e)])</f>
        <v>1223269.311</v>
      </c>
      <c r="M64" s="289" t="str" cm="1">
        <f t="array" ref="M64">_xlfn.CONCAT(
IFERROR(_xlfn.CONCAT(_xlfn._xlws.FILTER(Cartographie_Solutions_Sur_Site[Nom de l''application],#REF!=B64)&amp;CHAR(10)),""),
IFERROR(_xlfn.CONCAT(_xlfn._xlws.FILTER(Cartographie_Solutions_sur_Cloud[Nom de l''application],#REF!=B64)&amp;CHAR(10)),"")
)</f>
        <v/>
      </c>
      <c r="N64" s="288">
        <f>SUMIF(Cartographie_des_TM_externes[Contrôle NIST],B64,Cartographie_des_TM_externes[Émissions de carbone du NIST (kgCO2e)])
+SUMIF(Cartographie_des_externes_prix_fixes[Contrôle NIST],B64,Cartographie_des_externes_prix_fixes[Émissions de carbone du NIST (kgCO2e)])</f>
        <v>15470.355135921536</v>
      </c>
      <c r="O64" s="289" t="str" cm="1">
        <f t="array" ref="O64">_xlfn.CONCAT(
IFERROR(_xlfn.CONCAT(_xlfn._xlws.FILTER(Cartographie_des_TM_externes[Nom du service],#REF!=B64)&amp;CHAR(10)),""),
IFERROR(_xlfn.CONCAT(_xlfn._xlws.FILTER(Cartographie_des_externes_prix_fixes[Nom du service],#REF!=B64)&amp;CHAR(10)),""))</f>
        <v/>
      </c>
      <c r="P64" s="288">
        <f>SUMIF(Cartographie_voyage[Contrôle NIST],B64,Cartographie_voyage[Émissions totales (kgC02e)])</f>
        <v>0</v>
      </c>
      <c r="Q64" s="290" t="str" cm="1">
        <f t="array" ref="Q64">IFERROR(_xlfn.CONCAT(_xlfn._xlws.FILTER(Cartographie_voyage[Type de transport],Cartographie_voyage[Contrôle NIST]=B64)&amp;CHAR(10)),"")</f>
        <v/>
      </c>
      <c r="R64" s="288">
        <f>SUMIF(Cartographie_poste_de_travail_non_cyber_ordinateur_portable[Contrôle NIST],B64,Cartographie_poste_de_travail_non_cyber_ordinateur_portable[Émissions totales (kgC02e)])
+SUMIF(Cartographie_poste_de_travail_non_cyber_ordinateur_de_bureau[Contrôle NIST],B64,Cartographie_poste_de_travail_non_cyber_ordinateur_de_bureau[Émissions totales (kgC02e)])
+SUMIF(Cartographie_non_cyber_VDI[Contrôle NIST],B64,Cartographie_non_cyber_VDI[Émissions totales (kgC02e)])
+SUMIF(Cartographie_non_cyber_serveurs[Contrôle NIST],B64,Cartographie_non_cyber_serveurs[Émissions totales (kgC02e)])</f>
        <v>0</v>
      </c>
      <c r="S64" s="289" t="str" cm="1">
        <f t="array" ref="S64">_xlfn.CONCAT(
IFERROR(_xlfn.CONCAT(_xlfn._xlws.FILTER(Cartographie_poste_de_travail_non_cyber_ordinateur_portable[Champ d''application],Cartographie_poste_de_travail_non_cyber_ordinateur_portable[Contrôle NIST]=B64)&amp;CHAR(10)),""),
IFERROR(_xlfn.CONCAT(_xlfn._xlws.FILTER(Cartographie_poste_de_travail_non_cyber_ordinateur_de_bureau[Champ d''application],Cartographie_poste_de_travail_non_cyber_ordinateur_de_bureau[Contrôle NIST]=B64)&amp;CHAR(10)),""),
IFERROR(_xlfn.CONCAT(_xlfn._xlws.FILTER(Cartographie_non_cyber_VDI[Champ d''application],Cartographie_non_cyber_VDI[Contrôle NIST]=B64)&amp;CHAR(10)),""),
IFERROR(_xlfn.CONCAT(_xlfn._xlws.FILTER(Cartographie_non_cyber_serveurs[Champ d''application],Cartographie_non_cyber_serveurs[Contrôle NIST]=B64)&amp;CHAR(10)),"")
)</f>
        <v/>
      </c>
    </row>
    <row r="65" spans="1:19" ht="73.5" customHeight="1" x14ac:dyDescent="0.3">
      <c r="A65" s="284" t="s">
        <v>9</v>
      </c>
      <c r="B65" s="285" t="s">
        <v>58</v>
      </c>
      <c r="C65" s="284" t="s">
        <v>272</v>
      </c>
      <c r="D6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5" s="287">
        <f>Tableau_de_bord_par_contrôle[[#This Row],[Émissions annuelles totales de CO2e(kgCO2e)]]/(1000*Total)</f>
        <v>0</v>
      </c>
      <c r="F65" s="288">
        <f xml:space="preserve">
SUMIF(Cartographie_des_appareils_poste_de_travail_ordinateur_portable[Contrôle NIST],B65,Cartographie_des_appareils_poste_de_travail_ordinateur_portable[Émissions totales (kgC02e)])
+SUMIF(Cartographie_des_appareils_poste_de_travail_ordinateur_de_bureau[Contrôle NIST],B65,Cartographie_des_appareils_poste_de_travail_ordinateur_de_bureau[Émissions totales (kgC02e)])
+SUMIF(Cartographie_des_appareils_écrans[Contrôle NIST],B65,Cartographie_des_appareils_écrans[Émissions totales (kgC02e)])+SUMIF(Cartographie_des_appareils_Smartphones[Contrôle NIST],B65,Cartographie_des_appareils_Smartphones[Émissions totales (kgC02e)])</f>
        <v>0</v>
      </c>
      <c r="G65" s="289" t="str" cm="1">
        <f t="array" ref="G65">_xlfn.CONCAT(
IFERROR(_xlfn.CONCAT(_xlfn._xlws.FILTER(Cartographie_des_appareils_poste_de_travail_ordinateur_portable[Champ d''application],Cartographie_des_appareils_poste_de_travail_ordinateur_portable[Contrôle NIST]=B65)&amp;CHAR(10)),""),
IFERROR(_xlfn.CONCAT(_xlfn._xlws.FILTER(#REF!,#REF!=B65)&amp;CHAR(10)),""),
IFERROR(_xlfn.CONCAT(_xlfn._xlws.FILTER(Cartographie_des_appareils_écrans[Champ d''application],Cartographie_des_appareils_écrans[Contrôle NIST]=B65)&amp;CHAR(10)),""),
IFERROR(_xlfn.CONCAT(_xlfn._xlws.FILTER(Cartographie_des_appareils_Smartphones[Champ d''application],Cartographie_des_appareils_Smartphones[Contrôle NIST]=B65)&amp;CHAR(10)),"")
)</f>
        <v/>
      </c>
      <c r="H65" s="288">
        <f>SUMIF(Cartographie_des_appareils[Contrôle NIST],B65,Cartographie_des_appareils[Émissions totales (kgC02e)])</f>
        <v>0</v>
      </c>
      <c r="I65" s="289" t="str" cm="1">
        <f t="array" ref="I65">IFERROR(_xlfn.CONCAT(_xlfn._xlws.FILTER(Cartographie_des_appareils[Champ d''application],Cartographie_des_appareils[Contrôle NIST]=B65)&amp;CHAR(10)),"")</f>
        <v/>
      </c>
      <c r="J65" s="288">
        <f>SUMIF(Cartographie_des_serveurs_de_sauvegarde[Contrôle NIST],B65,Cartographie_des_serveurs_de_sauvegarde[Émissions totales (kgC02e)])</f>
        <v>0</v>
      </c>
      <c r="K65" s="289" t="str" cm="1">
        <f t="array" ref="K65">_xlfn.CONCAT(
IFERROR(_xlfn.CONCAT(_xlfn._xlws.FILTER(Cartographie_non_cyber_serveurs[Champ d''application],Cartographie_non_cyber_serveurs[Contrôle NIST]=B65)&amp;CHAR(10)),""),
IFERROR(_xlfn.CONCAT(_xlfn._xlws.FILTER(Cartographie_des_serveurs_de_sauvegarde[Champ d''application],Cartographie_des_serveurs_de_sauvegarde[Contrôle NIST]=B65)&amp;CHAR(10)),""),
)</f>
        <v/>
      </c>
      <c r="L65" s="288">
        <f>SUMIF(Cartographie_Solutions_Sur_Site[Contrôle NIST],B65,Cartographie_Solutions_Sur_Site[Émissions totales de carbone du NIST (kgCO2e)])
+SUMIF(Cartographie_Solutions_sur_Cloud[Contrôle NIST],B65,Cartographie_Solutions_sur_Cloud[Émissions totales de carbone du NIST (kgCO2e)])</f>
        <v>0</v>
      </c>
      <c r="M65" s="289" t="str" cm="1">
        <f t="array" ref="M65">_xlfn.CONCAT(
IFERROR(_xlfn.CONCAT(_xlfn._xlws.FILTER(Cartographie_Solutions_Sur_Site[Nom de l''application],#REF!=B65)&amp;CHAR(10)),""),
IFERROR(_xlfn.CONCAT(_xlfn._xlws.FILTER(Cartographie_Solutions_sur_Cloud[Nom de l''application],#REF!=B65)&amp;CHAR(10)),"")
)</f>
        <v/>
      </c>
      <c r="N65" s="288">
        <f>SUMIF(Cartographie_des_TM_externes[Contrôle NIST],B65,Cartographie_des_TM_externes[Émissions de carbone du NIST (kgCO2e)])
+SUMIF(Cartographie_des_externes_prix_fixes[Contrôle NIST],B65,Cartographie_des_externes_prix_fixes[Émissions de carbone du NIST (kgCO2e)])</f>
        <v>0</v>
      </c>
      <c r="O65" s="289" t="str" cm="1">
        <f t="array" ref="O65">_xlfn.CONCAT(
IFERROR(_xlfn.CONCAT(_xlfn._xlws.FILTER(Cartographie_des_TM_externes[Nom du service],#REF!=B65)&amp;CHAR(10)),""),
IFERROR(_xlfn.CONCAT(_xlfn._xlws.FILTER(Cartographie_des_externes_prix_fixes[Nom du service],#REF!=B65)&amp;CHAR(10)),""))</f>
        <v/>
      </c>
      <c r="P65" s="288">
        <f>SUMIF(Cartographie_voyage[Contrôle NIST],B65,Cartographie_voyage[Émissions totales (kgC02e)])</f>
        <v>0</v>
      </c>
      <c r="Q65" s="290" t="str" cm="1">
        <f t="array" ref="Q65">IFERROR(_xlfn.CONCAT(_xlfn._xlws.FILTER(Cartographie_voyage[Type de transport],Cartographie_voyage[Contrôle NIST]=B65)&amp;CHAR(10)),"")</f>
        <v/>
      </c>
      <c r="R65" s="288">
        <f>SUMIF(Cartographie_poste_de_travail_non_cyber_ordinateur_portable[Contrôle NIST],B65,Cartographie_poste_de_travail_non_cyber_ordinateur_portable[Émissions totales (kgC02e)])
+SUMIF(Cartographie_poste_de_travail_non_cyber_ordinateur_de_bureau[Contrôle NIST],B65,Cartographie_poste_de_travail_non_cyber_ordinateur_de_bureau[Émissions totales (kgC02e)])
+SUMIF(Cartographie_non_cyber_VDI[Contrôle NIST],B65,Cartographie_non_cyber_VDI[Émissions totales (kgC02e)])
+SUMIF(Cartographie_non_cyber_serveurs[Contrôle NIST],B65,Cartographie_non_cyber_serveurs[Émissions totales (kgC02e)])</f>
        <v>0</v>
      </c>
      <c r="S65" s="289" t="str" cm="1">
        <f t="array" ref="S65">_xlfn.CONCAT(
IFERROR(_xlfn.CONCAT(_xlfn._xlws.FILTER(Cartographie_poste_de_travail_non_cyber_ordinateur_portable[Champ d''application],Cartographie_poste_de_travail_non_cyber_ordinateur_portable[Contrôle NIST]=B65)&amp;CHAR(10)),""),
IFERROR(_xlfn.CONCAT(_xlfn._xlws.FILTER(Cartographie_poste_de_travail_non_cyber_ordinateur_de_bureau[Champ d''application],Cartographie_poste_de_travail_non_cyber_ordinateur_de_bureau[Contrôle NIST]=B65)&amp;CHAR(10)),""),
IFERROR(_xlfn.CONCAT(_xlfn._xlws.FILTER(Cartographie_non_cyber_VDI[Champ d''application],Cartographie_non_cyber_VDI[Contrôle NIST]=B65)&amp;CHAR(10)),""),
IFERROR(_xlfn.CONCAT(_xlfn._xlws.FILTER(Cartographie_non_cyber_serveurs[Champ d''application],Cartographie_non_cyber_serveurs[Contrôle NIST]=B65)&amp;CHAR(10)),"")
)</f>
        <v/>
      </c>
    </row>
    <row r="66" spans="1:19" ht="73.5" customHeight="1" x14ac:dyDescent="0.3">
      <c r="A66" s="284" t="s">
        <v>9</v>
      </c>
      <c r="B66" s="285" t="s">
        <v>59</v>
      </c>
      <c r="C66" s="284" t="s">
        <v>500</v>
      </c>
      <c r="D6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6" s="287">
        <f>Tableau_de_bord_par_contrôle[[#This Row],[Émissions annuelles totales de CO2e(kgCO2e)]]/(1000*Total)</f>
        <v>0</v>
      </c>
      <c r="F66" s="288">
        <f xml:space="preserve">
SUMIF(Cartographie_des_appareils_poste_de_travail_ordinateur_portable[Contrôle NIST],B66,Cartographie_des_appareils_poste_de_travail_ordinateur_portable[Émissions totales (kgC02e)])
+SUMIF(Cartographie_des_appareils_poste_de_travail_ordinateur_de_bureau[Contrôle NIST],B66,Cartographie_des_appareils_poste_de_travail_ordinateur_de_bureau[Émissions totales (kgC02e)])
+SUMIF(Cartographie_des_appareils_écrans[Contrôle NIST],B66,Cartographie_des_appareils_écrans[Émissions totales (kgC02e)])+SUMIF(Cartographie_des_appareils_Smartphones[Contrôle NIST],B66,Cartographie_des_appareils_Smartphones[Émissions totales (kgC02e)])</f>
        <v>0</v>
      </c>
      <c r="G66" s="289" t="str" cm="1">
        <f t="array" ref="G66">_xlfn.CONCAT(
IFERROR(_xlfn.CONCAT(_xlfn._xlws.FILTER(Cartographie_des_appareils_poste_de_travail_ordinateur_portable[Champ d''application],Cartographie_des_appareils_poste_de_travail_ordinateur_portable[Contrôle NIST]=B66)&amp;CHAR(10)),""),
IFERROR(_xlfn.CONCAT(_xlfn._xlws.FILTER(#REF!,#REF!=B66)&amp;CHAR(10)),""),
IFERROR(_xlfn.CONCAT(_xlfn._xlws.FILTER(Cartographie_des_appareils_écrans[Champ d''application],Cartographie_des_appareils_écrans[Contrôle NIST]=B66)&amp;CHAR(10)),""),
IFERROR(_xlfn.CONCAT(_xlfn._xlws.FILTER(Cartographie_des_appareils_Smartphones[Champ d''application],Cartographie_des_appareils_Smartphones[Contrôle NIST]=B66)&amp;CHAR(10)),"")
)</f>
        <v/>
      </c>
      <c r="H66" s="288">
        <f>SUMIF(Cartographie_des_appareils[Contrôle NIST],B66,Cartographie_des_appareils[Émissions totales (kgC02e)])</f>
        <v>0</v>
      </c>
      <c r="I66" s="289" t="str" cm="1">
        <f t="array" ref="I66">IFERROR(_xlfn.CONCAT(_xlfn._xlws.FILTER(Cartographie_des_appareils[Champ d''application],Cartographie_des_appareils[Contrôle NIST]=B66)&amp;CHAR(10)),"")</f>
        <v/>
      </c>
      <c r="J66" s="288">
        <f>SUMIF(Cartographie_des_serveurs_de_sauvegarde[Contrôle NIST],B66,Cartographie_des_serveurs_de_sauvegarde[Émissions totales (kgC02e)])</f>
        <v>0</v>
      </c>
      <c r="K66" s="289" t="str" cm="1">
        <f t="array" ref="K66">_xlfn.CONCAT(
IFERROR(_xlfn.CONCAT(_xlfn._xlws.FILTER(Cartographie_non_cyber_serveurs[Champ d''application],Cartographie_non_cyber_serveurs[Contrôle NIST]=B66)&amp;CHAR(10)),""),
IFERROR(_xlfn.CONCAT(_xlfn._xlws.FILTER(Cartographie_des_serveurs_de_sauvegarde[Champ d''application],Cartographie_des_serveurs_de_sauvegarde[Contrôle NIST]=B66)&amp;CHAR(10)),""),
)</f>
        <v/>
      </c>
      <c r="L66" s="288">
        <f>SUMIF(Cartographie_Solutions_Sur_Site[Contrôle NIST],B66,Cartographie_Solutions_Sur_Site[Émissions totales de carbone du NIST (kgCO2e)])
+SUMIF(Cartographie_Solutions_sur_Cloud[Contrôle NIST],B66,Cartographie_Solutions_sur_Cloud[Émissions totales de carbone du NIST (kgCO2e)])</f>
        <v>0</v>
      </c>
      <c r="M66" s="289" t="str" cm="1">
        <f t="array" ref="M66">_xlfn.CONCAT(
IFERROR(_xlfn.CONCAT(_xlfn._xlws.FILTER(Cartographie_Solutions_Sur_Site[Nom de l''application],#REF!=B66)&amp;CHAR(10)),""),
IFERROR(_xlfn.CONCAT(_xlfn._xlws.FILTER(Cartographie_Solutions_sur_Cloud[Nom de l''application],#REF!=B66)&amp;CHAR(10)),"")
)</f>
        <v/>
      </c>
      <c r="N66" s="288">
        <f>SUMIF(Cartographie_des_TM_externes[Contrôle NIST],B66,Cartographie_des_TM_externes[Émissions de carbone du NIST (kgCO2e)])
+SUMIF(Cartographie_des_externes_prix_fixes[Contrôle NIST],B66,Cartographie_des_externes_prix_fixes[Émissions de carbone du NIST (kgCO2e)])</f>
        <v>0</v>
      </c>
      <c r="O66" s="289" t="str" cm="1">
        <f t="array" ref="O66">_xlfn.CONCAT(
IFERROR(_xlfn.CONCAT(_xlfn._xlws.FILTER(Cartographie_des_TM_externes[Nom du service],#REF!=B66)&amp;CHAR(10)),""),
IFERROR(_xlfn.CONCAT(_xlfn._xlws.FILTER(Cartographie_des_externes_prix_fixes[Nom du service],#REF!=B66)&amp;CHAR(10)),""))</f>
        <v/>
      </c>
      <c r="P66" s="288">
        <f>SUMIF(Cartographie_voyage[Contrôle NIST],B66,Cartographie_voyage[Émissions totales (kgC02e)])</f>
        <v>0</v>
      </c>
      <c r="Q66" s="290" t="str" cm="1">
        <f t="array" ref="Q66">IFERROR(_xlfn.CONCAT(_xlfn._xlws.FILTER(Cartographie_voyage[Type de transport],Cartographie_voyage[Contrôle NIST]=B66)&amp;CHAR(10)),"")</f>
        <v/>
      </c>
      <c r="R66" s="288">
        <f>SUMIF(Cartographie_poste_de_travail_non_cyber_ordinateur_portable[Contrôle NIST],B66,Cartographie_poste_de_travail_non_cyber_ordinateur_portable[Émissions totales (kgC02e)])
+SUMIF(Cartographie_poste_de_travail_non_cyber_ordinateur_de_bureau[Contrôle NIST],B66,Cartographie_poste_de_travail_non_cyber_ordinateur_de_bureau[Émissions totales (kgC02e)])
+SUMIF(Cartographie_non_cyber_VDI[Contrôle NIST],B66,Cartographie_non_cyber_VDI[Émissions totales (kgC02e)])
+SUMIF(Cartographie_non_cyber_serveurs[Contrôle NIST],B66,Cartographie_non_cyber_serveurs[Émissions totales (kgC02e)])</f>
        <v>0</v>
      </c>
      <c r="S66" s="289" t="str" cm="1">
        <f t="array" ref="S66">_xlfn.CONCAT(
IFERROR(_xlfn.CONCAT(_xlfn._xlws.FILTER(Cartographie_poste_de_travail_non_cyber_ordinateur_portable[Champ d''application],Cartographie_poste_de_travail_non_cyber_ordinateur_portable[Contrôle NIST]=B66)&amp;CHAR(10)),""),
IFERROR(_xlfn.CONCAT(_xlfn._xlws.FILTER(Cartographie_poste_de_travail_non_cyber_ordinateur_de_bureau[Champ d''application],Cartographie_poste_de_travail_non_cyber_ordinateur_de_bureau[Contrôle NIST]=B66)&amp;CHAR(10)),""),
IFERROR(_xlfn.CONCAT(_xlfn._xlws.FILTER(Cartographie_non_cyber_VDI[Champ d''application],Cartographie_non_cyber_VDI[Contrôle NIST]=B66)&amp;CHAR(10)),""),
IFERROR(_xlfn.CONCAT(_xlfn._xlws.FILTER(Cartographie_non_cyber_serveurs[Champ d''application],Cartographie_non_cyber_serveurs[Contrôle NIST]=B66)&amp;CHAR(10)),"")
)</f>
        <v/>
      </c>
    </row>
    <row r="67" spans="1:19" ht="73.5" customHeight="1" x14ac:dyDescent="0.3">
      <c r="A67" s="284" t="s">
        <v>9</v>
      </c>
      <c r="B67" s="285" t="s">
        <v>60</v>
      </c>
      <c r="C67" s="284" t="s">
        <v>501</v>
      </c>
      <c r="D6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7" s="287">
        <f>Tableau_de_bord_par_contrôle[[#This Row],[Émissions annuelles totales de CO2e(kgCO2e)]]/(1000*Total)</f>
        <v>0</v>
      </c>
      <c r="F67" s="288">
        <f xml:space="preserve">
SUMIF(Cartographie_des_appareils_poste_de_travail_ordinateur_portable[Contrôle NIST],B67,Cartographie_des_appareils_poste_de_travail_ordinateur_portable[Émissions totales (kgC02e)])
+SUMIF(Cartographie_des_appareils_poste_de_travail_ordinateur_de_bureau[Contrôle NIST],B67,Cartographie_des_appareils_poste_de_travail_ordinateur_de_bureau[Émissions totales (kgC02e)])
+SUMIF(Cartographie_des_appareils_écrans[Contrôle NIST],B67,Cartographie_des_appareils_écrans[Émissions totales (kgC02e)])+SUMIF(Cartographie_des_appareils_Smartphones[Contrôle NIST],B67,Cartographie_des_appareils_Smartphones[Émissions totales (kgC02e)])</f>
        <v>0</v>
      </c>
      <c r="G67" s="289" t="str" cm="1">
        <f t="array" ref="G67">_xlfn.CONCAT(
IFERROR(_xlfn.CONCAT(_xlfn._xlws.FILTER(Cartographie_des_appareils_poste_de_travail_ordinateur_portable[Champ d''application],Cartographie_des_appareils_poste_de_travail_ordinateur_portable[Contrôle NIST]=B67)&amp;CHAR(10)),""),
IFERROR(_xlfn.CONCAT(_xlfn._xlws.FILTER(#REF!,#REF!=B67)&amp;CHAR(10)),""),
IFERROR(_xlfn.CONCAT(_xlfn._xlws.FILTER(Cartographie_des_appareils_écrans[Champ d''application],Cartographie_des_appareils_écrans[Contrôle NIST]=B67)&amp;CHAR(10)),""),
IFERROR(_xlfn.CONCAT(_xlfn._xlws.FILTER(Cartographie_des_appareils_Smartphones[Champ d''application],Cartographie_des_appareils_Smartphones[Contrôle NIST]=B67)&amp;CHAR(10)),"")
)</f>
        <v/>
      </c>
      <c r="H67" s="288">
        <f>SUMIF(Cartographie_des_appareils[Contrôle NIST],B67,Cartographie_des_appareils[Émissions totales (kgC02e)])</f>
        <v>0</v>
      </c>
      <c r="I67" s="289" t="str" cm="1">
        <f t="array" ref="I67">IFERROR(_xlfn.CONCAT(_xlfn._xlws.FILTER(Cartographie_des_appareils[Champ d''application],Cartographie_des_appareils[Contrôle NIST]=B67)&amp;CHAR(10)),"")</f>
        <v/>
      </c>
      <c r="J67" s="288">
        <f>SUMIF(Cartographie_des_serveurs_de_sauvegarde[Contrôle NIST],B67,Cartographie_des_serveurs_de_sauvegarde[Émissions totales (kgC02e)])</f>
        <v>0</v>
      </c>
      <c r="K67" s="289" t="str" cm="1">
        <f t="array" ref="K67">_xlfn.CONCAT(
IFERROR(_xlfn.CONCAT(_xlfn._xlws.FILTER(Cartographie_non_cyber_serveurs[Champ d''application],Cartographie_non_cyber_serveurs[Contrôle NIST]=B67)&amp;CHAR(10)),""),
IFERROR(_xlfn.CONCAT(_xlfn._xlws.FILTER(Cartographie_des_serveurs_de_sauvegarde[Champ d''application],Cartographie_des_serveurs_de_sauvegarde[Contrôle NIST]=B67)&amp;CHAR(10)),""),
)</f>
        <v/>
      </c>
      <c r="L67" s="288">
        <f>SUMIF(Cartographie_Solutions_Sur_Site[Contrôle NIST],B67,Cartographie_Solutions_Sur_Site[Émissions totales de carbone du NIST (kgCO2e)])
+SUMIF(Cartographie_Solutions_sur_Cloud[Contrôle NIST],B67,Cartographie_Solutions_sur_Cloud[Émissions totales de carbone du NIST (kgCO2e)])</f>
        <v>0</v>
      </c>
      <c r="M67" s="289" t="str" cm="1">
        <f t="array" ref="M67">_xlfn.CONCAT(
IFERROR(_xlfn.CONCAT(_xlfn._xlws.FILTER(Cartographie_Solutions_Sur_Site[Nom de l''application],#REF!=B67)&amp;CHAR(10)),""),
IFERROR(_xlfn.CONCAT(_xlfn._xlws.FILTER(Cartographie_Solutions_sur_Cloud[Nom de l''application],#REF!=B67)&amp;CHAR(10)),"")
)</f>
        <v/>
      </c>
      <c r="N67" s="288">
        <f>SUMIF(Cartographie_des_TM_externes[Contrôle NIST],B67,Cartographie_des_TM_externes[Émissions de carbone du NIST (kgCO2e)])
+SUMIF(Cartographie_des_externes_prix_fixes[Contrôle NIST],B67,Cartographie_des_externes_prix_fixes[Émissions de carbone du NIST (kgCO2e)])</f>
        <v>0</v>
      </c>
      <c r="O67" s="289" t="str" cm="1">
        <f t="array" ref="O67">_xlfn.CONCAT(
IFERROR(_xlfn.CONCAT(_xlfn._xlws.FILTER(Cartographie_des_TM_externes[Nom du service],#REF!=B67)&amp;CHAR(10)),""),
IFERROR(_xlfn.CONCAT(_xlfn._xlws.FILTER(Cartographie_des_externes_prix_fixes[Nom du service],#REF!=B67)&amp;CHAR(10)),""))</f>
        <v/>
      </c>
      <c r="P67" s="288">
        <f>SUMIF(Cartographie_voyage[Contrôle NIST],B67,Cartographie_voyage[Émissions totales (kgC02e)])</f>
        <v>0</v>
      </c>
      <c r="Q67" s="290" t="str" cm="1">
        <f t="array" ref="Q67">IFERROR(_xlfn.CONCAT(_xlfn._xlws.FILTER(Cartographie_voyage[Type de transport],Cartographie_voyage[Contrôle NIST]=B67)&amp;CHAR(10)),"")</f>
        <v/>
      </c>
      <c r="R67" s="288">
        <f>SUMIF(Cartographie_poste_de_travail_non_cyber_ordinateur_portable[Contrôle NIST],B67,Cartographie_poste_de_travail_non_cyber_ordinateur_portable[Émissions totales (kgC02e)])
+SUMIF(Cartographie_poste_de_travail_non_cyber_ordinateur_de_bureau[Contrôle NIST],B67,Cartographie_poste_de_travail_non_cyber_ordinateur_de_bureau[Émissions totales (kgC02e)])
+SUMIF(Cartographie_non_cyber_VDI[Contrôle NIST],B67,Cartographie_non_cyber_VDI[Émissions totales (kgC02e)])
+SUMIF(Cartographie_non_cyber_serveurs[Contrôle NIST],B67,Cartographie_non_cyber_serveurs[Émissions totales (kgC02e)])</f>
        <v>0</v>
      </c>
      <c r="S67" s="289" t="str" cm="1">
        <f t="array" ref="S67">_xlfn.CONCAT(
IFERROR(_xlfn.CONCAT(_xlfn._xlws.FILTER(Cartographie_poste_de_travail_non_cyber_ordinateur_portable[Champ d''application],Cartographie_poste_de_travail_non_cyber_ordinateur_portable[Contrôle NIST]=B67)&amp;CHAR(10)),""),
IFERROR(_xlfn.CONCAT(_xlfn._xlws.FILTER(Cartographie_poste_de_travail_non_cyber_ordinateur_de_bureau[Champ d''application],Cartographie_poste_de_travail_non_cyber_ordinateur_de_bureau[Contrôle NIST]=B67)&amp;CHAR(10)),""),
IFERROR(_xlfn.CONCAT(_xlfn._xlws.FILTER(Cartographie_non_cyber_VDI[Champ d''application],Cartographie_non_cyber_VDI[Contrôle NIST]=B67)&amp;CHAR(10)),""),
IFERROR(_xlfn.CONCAT(_xlfn._xlws.FILTER(Cartographie_non_cyber_serveurs[Champ d''application],Cartographie_non_cyber_serveurs[Contrôle NIST]=B67)&amp;CHAR(10)),"")
)</f>
        <v/>
      </c>
    </row>
    <row r="68" spans="1:19" ht="73.5" customHeight="1" x14ac:dyDescent="0.3">
      <c r="A68" s="284" t="s">
        <v>9</v>
      </c>
      <c r="B68" s="285" t="s">
        <v>61</v>
      </c>
      <c r="C68" s="284" t="s">
        <v>502</v>
      </c>
      <c r="D6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68" s="287">
        <f>Tableau_de_bord_par_contrôle[[#This Row],[Émissions annuelles totales de CO2e(kgCO2e)]]/(1000*Total)</f>
        <v>0</v>
      </c>
      <c r="F68" s="288">
        <f xml:space="preserve">
SUMIF(Cartographie_des_appareils_poste_de_travail_ordinateur_portable[Contrôle NIST],B68,Cartographie_des_appareils_poste_de_travail_ordinateur_portable[Émissions totales (kgC02e)])
+SUMIF(Cartographie_des_appareils_poste_de_travail_ordinateur_de_bureau[Contrôle NIST],B68,Cartographie_des_appareils_poste_de_travail_ordinateur_de_bureau[Émissions totales (kgC02e)])
+SUMIF(Cartographie_des_appareils_écrans[Contrôle NIST],B68,Cartographie_des_appareils_écrans[Émissions totales (kgC02e)])+SUMIF(Cartographie_des_appareils_Smartphones[Contrôle NIST],B68,Cartographie_des_appareils_Smartphones[Émissions totales (kgC02e)])</f>
        <v>0</v>
      </c>
      <c r="G68" s="289" t="str" cm="1">
        <f t="array" ref="G68">_xlfn.CONCAT(
IFERROR(_xlfn.CONCAT(_xlfn._xlws.FILTER(Cartographie_des_appareils_poste_de_travail_ordinateur_portable[Champ d''application],Cartographie_des_appareils_poste_de_travail_ordinateur_portable[Contrôle NIST]=B68)&amp;CHAR(10)),""),
IFERROR(_xlfn.CONCAT(_xlfn._xlws.FILTER(#REF!,#REF!=B68)&amp;CHAR(10)),""),
IFERROR(_xlfn.CONCAT(_xlfn._xlws.FILTER(Cartographie_des_appareils_écrans[Champ d''application],Cartographie_des_appareils_écrans[Contrôle NIST]=B68)&amp;CHAR(10)),""),
IFERROR(_xlfn.CONCAT(_xlfn._xlws.FILTER(Cartographie_des_appareils_Smartphones[Champ d''application],Cartographie_des_appareils_Smartphones[Contrôle NIST]=B68)&amp;CHAR(10)),"")
)</f>
        <v/>
      </c>
      <c r="H68" s="288">
        <f>SUMIF(Cartographie_des_appareils[Contrôle NIST],B68,Cartographie_des_appareils[Émissions totales (kgC02e)])</f>
        <v>0</v>
      </c>
      <c r="I68" s="289" t="str" cm="1">
        <f t="array" ref="I68">IFERROR(_xlfn.CONCAT(_xlfn._xlws.FILTER(Cartographie_des_appareils[Champ d''application],Cartographie_des_appareils[Contrôle NIST]=B68)&amp;CHAR(10)),"")</f>
        <v/>
      </c>
      <c r="J68" s="288">
        <f>SUMIF(Cartographie_des_serveurs_de_sauvegarde[Contrôle NIST],B68,Cartographie_des_serveurs_de_sauvegarde[Émissions totales (kgC02e)])</f>
        <v>0</v>
      </c>
      <c r="K68" s="289" t="str" cm="1">
        <f t="array" ref="K68">_xlfn.CONCAT(
IFERROR(_xlfn.CONCAT(_xlfn._xlws.FILTER(Cartographie_non_cyber_serveurs[Champ d''application],Cartographie_non_cyber_serveurs[Contrôle NIST]=B68)&amp;CHAR(10)),""),
IFERROR(_xlfn.CONCAT(_xlfn._xlws.FILTER(Cartographie_des_serveurs_de_sauvegarde[Champ d''application],Cartographie_des_serveurs_de_sauvegarde[Contrôle NIST]=B68)&amp;CHAR(10)),""),
)</f>
        <v/>
      </c>
      <c r="L68" s="288">
        <f>SUMIF(Cartographie_Solutions_Sur_Site[Contrôle NIST],B68,Cartographie_Solutions_Sur_Site[Émissions totales de carbone du NIST (kgCO2e)])
+SUMIF(Cartographie_Solutions_sur_Cloud[Contrôle NIST],B68,Cartographie_Solutions_sur_Cloud[Émissions totales de carbone du NIST (kgCO2e)])</f>
        <v>0</v>
      </c>
      <c r="M68" s="289" t="str" cm="1">
        <f t="array" ref="M68">_xlfn.CONCAT(
IFERROR(_xlfn.CONCAT(_xlfn._xlws.FILTER(Cartographie_Solutions_Sur_Site[Nom de l''application],#REF!=B68)&amp;CHAR(10)),""),
IFERROR(_xlfn.CONCAT(_xlfn._xlws.FILTER(Cartographie_Solutions_sur_Cloud[Nom de l''application],#REF!=B68)&amp;CHAR(10)),"")
)</f>
        <v/>
      </c>
      <c r="N68" s="288">
        <f>SUMIF(Cartographie_des_TM_externes[Contrôle NIST],B68,Cartographie_des_TM_externes[Émissions de carbone du NIST (kgCO2e)])
+SUMIF(Cartographie_des_externes_prix_fixes[Contrôle NIST],B68,Cartographie_des_externes_prix_fixes[Émissions de carbone du NIST (kgCO2e)])</f>
        <v>0</v>
      </c>
      <c r="O68" s="289" t="str" cm="1">
        <f t="array" ref="O68">_xlfn.CONCAT(
IFERROR(_xlfn.CONCAT(_xlfn._xlws.FILTER(Cartographie_des_TM_externes[Nom du service],#REF!=B68)&amp;CHAR(10)),""),
IFERROR(_xlfn.CONCAT(_xlfn._xlws.FILTER(Cartographie_des_externes_prix_fixes[Nom du service],#REF!=B68)&amp;CHAR(10)),""))</f>
        <v/>
      </c>
      <c r="P68" s="288">
        <f>SUMIF(Cartographie_voyage[Contrôle NIST],B68,Cartographie_voyage[Émissions totales (kgC02e)])</f>
        <v>0</v>
      </c>
      <c r="Q68" s="290" t="str" cm="1">
        <f t="array" ref="Q68">IFERROR(_xlfn.CONCAT(_xlfn._xlws.FILTER(Cartographie_voyage[Type de transport],Cartographie_voyage[Contrôle NIST]=B68)&amp;CHAR(10)),"")</f>
        <v/>
      </c>
      <c r="R68" s="288">
        <f>SUMIF(Cartographie_poste_de_travail_non_cyber_ordinateur_portable[Contrôle NIST],B68,Cartographie_poste_de_travail_non_cyber_ordinateur_portable[Émissions totales (kgC02e)])
+SUMIF(Cartographie_poste_de_travail_non_cyber_ordinateur_de_bureau[Contrôle NIST],B68,Cartographie_poste_de_travail_non_cyber_ordinateur_de_bureau[Émissions totales (kgC02e)])
+SUMIF(Cartographie_non_cyber_VDI[Contrôle NIST],B68,Cartographie_non_cyber_VDI[Émissions totales (kgC02e)])
+SUMIF(Cartographie_non_cyber_serveurs[Contrôle NIST],B68,Cartographie_non_cyber_serveurs[Émissions totales (kgC02e)])</f>
        <v>0</v>
      </c>
      <c r="S68" s="289" t="str" cm="1">
        <f t="array" ref="S68">_xlfn.CONCAT(
IFERROR(_xlfn.CONCAT(_xlfn._xlws.FILTER(Cartographie_poste_de_travail_non_cyber_ordinateur_portable[Champ d''application],Cartographie_poste_de_travail_non_cyber_ordinateur_portable[Contrôle NIST]=B68)&amp;CHAR(10)),""),
IFERROR(_xlfn.CONCAT(_xlfn._xlws.FILTER(Cartographie_poste_de_travail_non_cyber_ordinateur_de_bureau[Champ d''application],Cartographie_poste_de_travail_non_cyber_ordinateur_de_bureau[Contrôle NIST]=B68)&amp;CHAR(10)),""),
IFERROR(_xlfn.CONCAT(_xlfn._xlws.FILTER(Cartographie_non_cyber_VDI[Champ d''application],Cartographie_non_cyber_VDI[Contrôle NIST]=B68)&amp;CHAR(10)),""),
IFERROR(_xlfn.CONCAT(_xlfn._xlws.FILTER(Cartographie_non_cyber_serveurs[Champ d''application],Cartographie_non_cyber_serveurs[Contrôle NIST]=B68)&amp;CHAR(10)),"")
)</f>
        <v/>
      </c>
    </row>
    <row r="69" spans="1:19" ht="73.5" customHeight="1" x14ac:dyDescent="0.3">
      <c r="A69" s="284" t="s">
        <v>9</v>
      </c>
      <c r="B69" s="285" t="s">
        <v>62</v>
      </c>
      <c r="C69" s="284" t="s">
        <v>503</v>
      </c>
      <c r="D6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18493.7016</v>
      </c>
      <c r="E69" s="287">
        <f>Tableau_de_bord_par_contrôle[[#This Row],[Émissions annuelles totales de CO2e(kgCO2e)]]/(1000*Total)</f>
        <v>3.2906458783721958E-3</v>
      </c>
      <c r="F69" s="288">
        <f xml:space="preserve">
SUMIF(Cartographie_des_appareils_poste_de_travail_ordinateur_portable[Contrôle NIST],B69,Cartographie_des_appareils_poste_de_travail_ordinateur_portable[Émissions totales (kgC02e)])
+SUMIF(Cartographie_des_appareils_poste_de_travail_ordinateur_de_bureau[Contrôle NIST],B69,Cartographie_des_appareils_poste_de_travail_ordinateur_de_bureau[Émissions totales (kgC02e)])
+SUMIF(Cartographie_des_appareils_écrans[Contrôle NIST],B69,Cartographie_des_appareils_écrans[Émissions totales (kgC02e)])+SUMIF(Cartographie_des_appareils_Smartphones[Contrôle NIST],B69,Cartographie_des_appareils_Smartphones[Émissions totales (kgC02e)])</f>
        <v>0</v>
      </c>
      <c r="G69" s="289" t="str" cm="1">
        <f t="array" ref="G69">_xlfn.CONCAT(
IFERROR(_xlfn.CONCAT(_xlfn._xlws.FILTER(Cartographie_des_appareils_poste_de_travail_ordinateur_portable[Champ d''application],Cartographie_des_appareils_poste_de_travail_ordinateur_portable[Contrôle NIST]=B69)&amp;CHAR(10)),""),
IFERROR(_xlfn.CONCAT(_xlfn._xlws.FILTER(#REF!,#REF!=B69)&amp;CHAR(10)),""),
IFERROR(_xlfn.CONCAT(_xlfn._xlws.FILTER(Cartographie_des_appareils_écrans[Champ d''application],Cartographie_des_appareils_écrans[Contrôle NIST]=B69)&amp;CHAR(10)),""),
IFERROR(_xlfn.CONCAT(_xlfn._xlws.FILTER(Cartographie_des_appareils_Smartphones[Champ d''application],Cartographie_des_appareils_Smartphones[Contrôle NIST]=B69)&amp;CHAR(10)),"")
)</f>
        <v/>
      </c>
      <c r="H69" s="288">
        <f>SUMIF(Cartographie_des_appareils[Contrôle NIST],B69,Cartographie_des_appareils[Émissions totales (kgC02e)])</f>
        <v>18493.7016</v>
      </c>
      <c r="I69" s="289" t="str" cm="1">
        <f t="array" ref="I69">IFERROR(_xlfn.CONCAT(_xlfn._xlws.FILTER(Cartographie_des_appareils[Champ d''application],Cartographie_des_appareils[Contrôle NIST]=B69)&amp;CHAR(10)),"")</f>
        <v xml:space="preserve">Proxy/Reverse-proxy dans l'ensemble de l'entreprise
</v>
      </c>
      <c r="J69" s="288">
        <f>SUMIF(Cartographie_des_serveurs_de_sauvegarde[Contrôle NIST],B69,Cartographie_des_serveurs_de_sauvegarde[Émissions totales (kgC02e)])</f>
        <v>0</v>
      </c>
      <c r="K69" s="289" t="str" cm="1">
        <f t="array" ref="K69">_xlfn.CONCAT(
IFERROR(_xlfn.CONCAT(_xlfn._xlws.FILTER(Cartographie_non_cyber_serveurs[Champ d''application],Cartographie_non_cyber_serveurs[Contrôle NIST]=B69)&amp;CHAR(10)),""),
IFERROR(_xlfn.CONCAT(_xlfn._xlws.FILTER(Cartographie_des_serveurs_de_sauvegarde[Champ d''application],Cartographie_des_serveurs_de_sauvegarde[Contrôle NIST]=B69)&amp;CHAR(10)),""),
)</f>
        <v/>
      </c>
      <c r="L69" s="288">
        <f>SUMIF(Cartographie_Solutions_Sur_Site[Contrôle NIST],B69,Cartographie_Solutions_Sur_Site[Émissions totales de carbone du NIST (kgCO2e)])
+SUMIF(Cartographie_Solutions_sur_Cloud[Contrôle NIST],B69,Cartographie_Solutions_sur_Cloud[Émissions totales de carbone du NIST (kgCO2e)])</f>
        <v>0</v>
      </c>
      <c r="M69" s="289" t="str" cm="1">
        <f t="array" ref="M69">_xlfn.CONCAT(
IFERROR(_xlfn.CONCAT(_xlfn._xlws.FILTER(Cartographie_Solutions_Sur_Site[Nom de l''application],#REF!=B69)&amp;CHAR(10)),""),
IFERROR(_xlfn.CONCAT(_xlfn._xlws.FILTER(Cartographie_Solutions_sur_Cloud[Nom de l''application],#REF!=B69)&amp;CHAR(10)),"")
)</f>
        <v/>
      </c>
      <c r="N69" s="288">
        <f>SUMIF(Cartographie_des_TM_externes[Contrôle NIST],B69,Cartographie_des_TM_externes[Émissions de carbone du NIST (kgCO2e)])
+SUMIF(Cartographie_des_externes_prix_fixes[Contrôle NIST],B69,Cartographie_des_externes_prix_fixes[Émissions de carbone du NIST (kgCO2e)])</f>
        <v>0</v>
      </c>
      <c r="O69" s="289" t="str" cm="1">
        <f t="array" ref="O69">_xlfn.CONCAT(
IFERROR(_xlfn.CONCAT(_xlfn._xlws.FILTER(Cartographie_des_TM_externes[Nom du service],#REF!=B69)&amp;CHAR(10)),""),
IFERROR(_xlfn.CONCAT(_xlfn._xlws.FILTER(Cartographie_des_externes_prix_fixes[Nom du service],#REF!=B69)&amp;CHAR(10)),""))</f>
        <v/>
      </c>
      <c r="P69" s="288">
        <f>SUMIF(Cartographie_voyage[Contrôle NIST],B69,Cartographie_voyage[Émissions totales (kgC02e)])</f>
        <v>0</v>
      </c>
      <c r="Q69" s="290" t="str" cm="1">
        <f t="array" ref="Q69">IFERROR(_xlfn.CONCAT(_xlfn._xlws.FILTER(Cartographie_voyage[Type de transport],Cartographie_voyage[Contrôle NIST]=B69)&amp;CHAR(10)),"")</f>
        <v/>
      </c>
      <c r="R69" s="288">
        <f>SUMIF(Cartographie_poste_de_travail_non_cyber_ordinateur_portable[Contrôle NIST],B69,Cartographie_poste_de_travail_non_cyber_ordinateur_portable[Émissions totales (kgC02e)])
+SUMIF(Cartographie_poste_de_travail_non_cyber_ordinateur_de_bureau[Contrôle NIST],B69,Cartographie_poste_de_travail_non_cyber_ordinateur_de_bureau[Émissions totales (kgC02e)])
+SUMIF(Cartographie_non_cyber_VDI[Contrôle NIST],B69,Cartographie_non_cyber_VDI[Émissions totales (kgC02e)])
+SUMIF(Cartographie_non_cyber_serveurs[Contrôle NIST],B69,Cartographie_non_cyber_serveurs[Émissions totales (kgC02e)])</f>
        <v>0</v>
      </c>
      <c r="S69" s="289" t="str" cm="1">
        <f t="array" ref="S69">_xlfn.CONCAT(
IFERROR(_xlfn.CONCAT(_xlfn._xlws.FILTER(Cartographie_poste_de_travail_non_cyber_ordinateur_portable[Champ d''application],Cartographie_poste_de_travail_non_cyber_ordinateur_portable[Contrôle NIST]=B69)&amp;CHAR(10)),""),
IFERROR(_xlfn.CONCAT(_xlfn._xlws.FILTER(Cartographie_poste_de_travail_non_cyber_ordinateur_de_bureau[Champ d''application],Cartographie_poste_de_travail_non_cyber_ordinateur_de_bureau[Contrôle NIST]=B69)&amp;CHAR(10)),""),
IFERROR(_xlfn.CONCAT(_xlfn._xlws.FILTER(Cartographie_non_cyber_VDI[Champ d''application],Cartographie_non_cyber_VDI[Contrôle NIST]=B69)&amp;CHAR(10)),""),
IFERROR(_xlfn.CONCAT(_xlfn._xlws.FILTER(Cartographie_non_cyber_serveurs[Champ d''application],Cartographie_non_cyber_serveurs[Contrôle NIST]=B69)&amp;CHAR(10)),"")
)</f>
        <v/>
      </c>
    </row>
    <row r="70" spans="1:19" ht="73.5" customHeight="1" x14ac:dyDescent="0.3">
      <c r="A70" s="284" t="s">
        <v>9</v>
      </c>
      <c r="B70" s="285" t="s">
        <v>63</v>
      </c>
      <c r="C70" s="284" t="s">
        <v>277</v>
      </c>
      <c r="D7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0" s="287">
        <f>Tableau_de_bord_par_contrôle[[#This Row],[Émissions annuelles totales de CO2e(kgCO2e)]]/(1000*Total)</f>
        <v>0</v>
      </c>
      <c r="F70" s="288">
        <f xml:space="preserve">
SUMIF(Cartographie_des_appareils_poste_de_travail_ordinateur_portable[Contrôle NIST],B70,Cartographie_des_appareils_poste_de_travail_ordinateur_portable[Émissions totales (kgC02e)])
+SUMIF(Cartographie_des_appareils_poste_de_travail_ordinateur_de_bureau[Contrôle NIST],B70,Cartographie_des_appareils_poste_de_travail_ordinateur_de_bureau[Émissions totales (kgC02e)])
+SUMIF(Cartographie_des_appareils_écrans[Contrôle NIST],B70,Cartographie_des_appareils_écrans[Émissions totales (kgC02e)])+SUMIF(Cartographie_des_appareils_Smartphones[Contrôle NIST],B70,Cartographie_des_appareils_Smartphones[Émissions totales (kgC02e)])</f>
        <v>0</v>
      </c>
      <c r="G70" s="289" t="str" cm="1">
        <f t="array" ref="G70">_xlfn.CONCAT(
IFERROR(_xlfn.CONCAT(_xlfn._xlws.FILTER(Cartographie_des_appareils_poste_de_travail_ordinateur_portable[Champ d''application],Cartographie_des_appareils_poste_de_travail_ordinateur_portable[Contrôle NIST]=B70)&amp;CHAR(10)),""),
IFERROR(_xlfn.CONCAT(_xlfn._xlws.FILTER(#REF!,#REF!=B70)&amp;CHAR(10)),""),
IFERROR(_xlfn.CONCAT(_xlfn._xlws.FILTER(Cartographie_des_appareils_écrans[Champ d''application],Cartographie_des_appareils_écrans[Contrôle NIST]=B70)&amp;CHAR(10)),""),
IFERROR(_xlfn.CONCAT(_xlfn._xlws.FILTER(Cartographie_des_appareils_Smartphones[Champ d''application],Cartographie_des_appareils_Smartphones[Contrôle NIST]=B70)&amp;CHAR(10)),"")
)</f>
        <v/>
      </c>
      <c r="H70" s="288">
        <f>SUMIF(Cartographie_des_appareils[Contrôle NIST],B70,Cartographie_des_appareils[Émissions totales (kgC02e)])</f>
        <v>0</v>
      </c>
      <c r="I70" s="289" t="str" cm="1">
        <f t="array" ref="I70">IFERROR(_xlfn.CONCAT(_xlfn._xlws.FILTER(Cartographie_des_appareils[Champ d''application],Cartographie_des_appareils[Contrôle NIST]=B70)&amp;CHAR(10)),"")</f>
        <v/>
      </c>
      <c r="J70" s="288">
        <f>SUMIF(Cartographie_des_serveurs_de_sauvegarde[Contrôle NIST],B70,Cartographie_des_serveurs_de_sauvegarde[Émissions totales (kgC02e)])</f>
        <v>0</v>
      </c>
      <c r="K70" s="289" t="str" cm="1">
        <f t="array" ref="K70">_xlfn.CONCAT(
IFERROR(_xlfn.CONCAT(_xlfn._xlws.FILTER(Cartographie_non_cyber_serveurs[Champ d''application],Cartographie_non_cyber_serveurs[Contrôle NIST]=B70)&amp;CHAR(10)),""),
IFERROR(_xlfn.CONCAT(_xlfn._xlws.FILTER(Cartographie_des_serveurs_de_sauvegarde[Champ d''application],Cartographie_des_serveurs_de_sauvegarde[Contrôle NIST]=B70)&amp;CHAR(10)),""),
)</f>
        <v/>
      </c>
      <c r="L70" s="288">
        <f>SUMIF(Cartographie_Solutions_Sur_Site[Contrôle NIST],B70,Cartographie_Solutions_Sur_Site[Émissions totales de carbone du NIST (kgCO2e)])
+SUMIF(Cartographie_Solutions_sur_Cloud[Contrôle NIST],B70,Cartographie_Solutions_sur_Cloud[Émissions totales de carbone du NIST (kgCO2e)])</f>
        <v>0</v>
      </c>
      <c r="M70" s="289" t="str" cm="1">
        <f t="array" ref="M70">_xlfn.CONCAT(
IFERROR(_xlfn.CONCAT(_xlfn._xlws.FILTER(Cartographie_Solutions_Sur_Site[Nom de l''application],#REF!=B70)&amp;CHAR(10)),""),
IFERROR(_xlfn.CONCAT(_xlfn._xlws.FILTER(Cartographie_Solutions_sur_Cloud[Nom de l''application],#REF!=B70)&amp;CHAR(10)),"")
)</f>
        <v/>
      </c>
      <c r="N70" s="288">
        <f>SUMIF(Cartographie_des_TM_externes[Contrôle NIST],B70,Cartographie_des_TM_externes[Émissions de carbone du NIST (kgCO2e)])
+SUMIF(Cartographie_des_externes_prix_fixes[Contrôle NIST],B70,Cartographie_des_externes_prix_fixes[Émissions de carbone du NIST (kgCO2e)])</f>
        <v>0</v>
      </c>
      <c r="O70" s="289" t="str" cm="1">
        <f t="array" ref="O70">_xlfn.CONCAT(
IFERROR(_xlfn.CONCAT(_xlfn._xlws.FILTER(Cartographie_des_TM_externes[Nom du service],#REF!=B70)&amp;CHAR(10)),""),
IFERROR(_xlfn.CONCAT(_xlfn._xlws.FILTER(Cartographie_des_externes_prix_fixes[Nom du service],#REF!=B70)&amp;CHAR(10)),""))</f>
        <v/>
      </c>
      <c r="P70" s="288">
        <f>SUMIF(Cartographie_voyage[Contrôle NIST],B70,Cartographie_voyage[Émissions totales (kgC02e)])</f>
        <v>0</v>
      </c>
      <c r="Q70" s="290" t="str" cm="1">
        <f t="array" ref="Q70">IFERROR(_xlfn.CONCAT(_xlfn._xlws.FILTER(Cartographie_voyage[Type de transport],Cartographie_voyage[Contrôle NIST]=B70)&amp;CHAR(10)),"")</f>
        <v/>
      </c>
      <c r="R70" s="288">
        <f>SUMIF(Cartographie_poste_de_travail_non_cyber_ordinateur_portable[Contrôle NIST],B70,Cartographie_poste_de_travail_non_cyber_ordinateur_portable[Émissions totales (kgC02e)])
+SUMIF(Cartographie_poste_de_travail_non_cyber_ordinateur_de_bureau[Contrôle NIST],B70,Cartographie_poste_de_travail_non_cyber_ordinateur_de_bureau[Émissions totales (kgC02e)])
+SUMIF(Cartographie_non_cyber_VDI[Contrôle NIST],B70,Cartographie_non_cyber_VDI[Émissions totales (kgC02e)])
+SUMIF(Cartographie_non_cyber_serveurs[Contrôle NIST],B70,Cartographie_non_cyber_serveurs[Émissions totales (kgC02e)])</f>
        <v>0</v>
      </c>
      <c r="S70" s="289" t="str" cm="1">
        <f t="array" ref="S70">_xlfn.CONCAT(
IFERROR(_xlfn.CONCAT(_xlfn._xlws.FILTER(Cartographie_poste_de_travail_non_cyber_ordinateur_portable[Champ d''application],Cartographie_poste_de_travail_non_cyber_ordinateur_portable[Contrôle NIST]=B70)&amp;CHAR(10)),""),
IFERROR(_xlfn.CONCAT(_xlfn._xlws.FILTER(Cartographie_poste_de_travail_non_cyber_ordinateur_de_bureau[Champ d''application],Cartographie_poste_de_travail_non_cyber_ordinateur_de_bureau[Contrôle NIST]=B70)&amp;CHAR(10)),""),
IFERROR(_xlfn.CONCAT(_xlfn._xlws.FILTER(Cartographie_non_cyber_VDI[Champ d''application],Cartographie_non_cyber_VDI[Contrôle NIST]=B70)&amp;CHAR(10)),""),
IFERROR(_xlfn.CONCAT(_xlfn._xlws.FILTER(Cartographie_non_cyber_serveurs[Champ d''application],Cartographie_non_cyber_serveurs[Contrôle NIST]=B70)&amp;CHAR(10)),"")
)</f>
        <v/>
      </c>
    </row>
    <row r="71" spans="1:19" ht="73.5" customHeight="1" x14ac:dyDescent="0.3">
      <c r="A71" s="284" t="s">
        <v>9</v>
      </c>
      <c r="B71" s="285" t="s">
        <v>64</v>
      </c>
      <c r="C71" s="284" t="s">
        <v>504</v>
      </c>
      <c r="D7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1" s="287">
        <f>Tableau_de_bord_par_contrôle[[#This Row],[Émissions annuelles totales de CO2e(kgCO2e)]]/(1000*Total)</f>
        <v>0</v>
      </c>
      <c r="F71" s="288">
        <f xml:space="preserve">
SUMIF(Cartographie_des_appareils_poste_de_travail_ordinateur_portable[Contrôle NIST],B71,Cartographie_des_appareils_poste_de_travail_ordinateur_portable[Émissions totales (kgC02e)])
+SUMIF(Cartographie_des_appareils_poste_de_travail_ordinateur_de_bureau[Contrôle NIST],B71,Cartographie_des_appareils_poste_de_travail_ordinateur_de_bureau[Émissions totales (kgC02e)])
+SUMIF(Cartographie_des_appareils_écrans[Contrôle NIST],B71,Cartographie_des_appareils_écrans[Émissions totales (kgC02e)])+SUMIF(Cartographie_des_appareils_Smartphones[Contrôle NIST],B71,Cartographie_des_appareils_Smartphones[Émissions totales (kgC02e)])</f>
        <v>0</v>
      </c>
      <c r="G71" s="289" t="str" cm="1">
        <f t="array" ref="G71">_xlfn.CONCAT(
IFERROR(_xlfn.CONCAT(_xlfn._xlws.FILTER(Cartographie_des_appareils_poste_de_travail_ordinateur_portable[Champ d''application],Cartographie_des_appareils_poste_de_travail_ordinateur_portable[Contrôle NIST]=B71)&amp;CHAR(10)),""),
IFERROR(_xlfn.CONCAT(_xlfn._xlws.FILTER(#REF!,#REF!=B71)&amp;CHAR(10)),""),
IFERROR(_xlfn.CONCAT(_xlfn._xlws.FILTER(Cartographie_des_appareils_écrans[Champ d''application],Cartographie_des_appareils_écrans[Contrôle NIST]=B71)&amp;CHAR(10)),""),
IFERROR(_xlfn.CONCAT(_xlfn._xlws.FILTER(Cartographie_des_appareils_Smartphones[Champ d''application],Cartographie_des_appareils_Smartphones[Contrôle NIST]=B71)&amp;CHAR(10)),"")
)</f>
        <v/>
      </c>
      <c r="H71" s="288">
        <f>SUMIF(Cartographie_des_appareils[Contrôle NIST],B71,Cartographie_des_appareils[Émissions totales (kgC02e)])</f>
        <v>0</v>
      </c>
      <c r="I71" s="289" t="str" cm="1">
        <f t="array" ref="I71">IFERROR(_xlfn.CONCAT(_xlfn._xlws.FILTER(Cartographie_des_appareils[Champ d''application],Cartographie_des_appareils[Contrôle NIST]=B71)&amp;CHAR(10)),"")</f>
        <v/>
      </c>
      <c r="J71" s="288">
        <f>SUMIF(Cartographie_des_serveurs_de_sauvegarde[Contrôle NIST],B71,Cartographie_des_serveurs_de_sauvegarde[Émissions totales (kgC02e)])</f>
        <v>0</v>
      </c>
      <c r="K71" s="289" t="str" cm="1">
        <f t="array" ref="K71">_xlfn.CONCAT(
IFERROR(_xlfn.CONCAT(_xlfn._xlws.FILTER(Cartographie_non_cyber_serveurs[Champ d''application],Cartographie_non_cyber_serveurs[Contrôle NIST]=B71)&amp;CHAR(10)),""),
IFERROR(_xlfn.CONCAT(_xlfn._xlws.FILTER(Cartographie_des_serveurs_de_sauvegarde[Champ d''application],Cartographie_des_serveurs_de_sauvegarde[Contrôle NIST]=B71)&amp;CHAR(10)),""),
)</f>
        <v/>
      </c>
      <c r="L71" s="288">
        <f>SUMIF(Cartographie_Solutions_Sur_Site[Contrôle NIST],B71,Cartographie_Solutions_Sur_Site[Émissions totales de carbone du NIST (kgCO2e)])
+SUMIF(Cartographie_Solutions_sur_Cloud[Contrôle NIST],B71,Cartographie_Solutions_sur_Cloud[Émissions totales de carbone du NIST (kgCO2e)])</f>
        <v>0</v>
      </c>
      <c r="M71" s="289" t="str" cm="1">
        <f t="array" ref="M71">_xlfn.CONCAT(
IFERROR(_xlfn.CONCAT(_xlfn._xlws.FILTER(Cartographie_Solutions_Sur_Site[Nom de l''application],#REF!=B71)&amp;CHAR(10)),""),
IFERROR(_xlfn.CONCAT(_xlfn._xlws.FILTER(Cartographie_Solutions_sur_Cloud[Nom de l''application],#REF!=B71)&amp;CHAR(10)),"")
)</f>
        <v/>
      </c>
      <c r="N71" s="288">
        <f>SUMIF(Cartographie_des_TM_externes[Contrôle NIST],B71,Cartographie_des_TM_externes[Émissions de carbone du NIST (kgCO2e)])
+SUMIF(Cartographie_des_externes_prix_fixes[Contrôle NIST],B71,Cartographie_des_externes_prix_fixes[Émissions de carbone du NIST (kgCO2e)])</f>
        <v>0</v>
      </c>
      <c r="O71" s="289" t="str" cm="1">
        <f t="array" ref="O71">_xlfn.CONCAT(
IFERROR(_xlfn.CONCAT(_xlfn._xlws.FILTER(Cartographie_des_TM_externes[Nom du service],#REF!=B71)&amp;CHAR(10)),""),
IFERROR(_xlfn.CONCAT(_xlfn._xlws.FILTER(Cartographie_des_externes_prix_fixes[Nom du service],#REF!=B71)&amp;CHAR(10)),""))</f>
        <v/>
      </c>
      <c r="P71" s="288">
        <f>SUMIF(Cartographie_voyage[Contrôle NIST],B71,Cartographie_voyage[Émissions totales (kgC02e)])</f>
        <v>0</v>
      </c>
      <c r="Q71" s="290" t="str" cm="1">
        <f t="array" ref="Q71">IFERROR(_xlfn.CONCAT(_xlfn._xlws.FILTER(Cartographie_voyage[Type de transport],Cartographie_voyage[Contrôle NIST]=B71)&amp;CHAR(10)),"")</f>
        <v/>
      </c>
      <c r="R71" s="288">
        <f>SUMIF(Cartographie_poste_de_travail_non_cyber_ordinateur_portable[Contrôle NIST],B71,Cartographie_poste_de_travail_non_cyber_ordinateur_portable[Émissions totales (kgC02e)])
+SUMIF(Cartographie_poste_de_travail_non_cyber_ordinateur_de_bureau[Contrôle NIST],B71,Cartographie_poste_de_travail_non_cyber_ordinateur_de_bureau[Émissions totales (kgC02e)])
+SUMIF(Cartographie_non_cyber_VDI[Contrôle NIST],B71,Cartographie_non_cyber_VDI[Émissions totales (kgC02e)])
+SUMIF(Cartographie_non_cyber_serveurs[Contrôle NIST],B71,Cartographie_non_cyber_serveurs[Émissions totales (kgC02e)])</f>
        <v>0</v>
      </c>
      <c r="S71" s="289" t="str" cm="1">
        <f t="array" ref="S71">_xlfn.CONCAT(
IFERROR(_xlfn.CONCAT(_xlfn._xlws.FILTER(Cartographie_poste_de_travail_non_cyber_ordinateur_portable[Champ d''application],Cartographie_poste_de_travail_non_cyber_ordinateur_portable[Contrôle NIST]=B71)&amp;CHAR(10)),""),
IFERROR(_xlfn.CONCAT(_xlfn._xlws.FILTER(Cartographie_poste_de_travail_non_cyber_ordinateur_de_bureau[Champ d''application],Cartographie_poste_de_travail_non_cyber_ordinateur_de_bureau[Contrôle NIST]=B71)&amp;CHAR(10)),""),
IFERROR(_xlfn.CONCAT(_xlfn._xlws.FILTER(Cartographie_non_cyber_VDI[Champ d''application],Cartographie_non_cyber_VDI[Contrôle NIST]=B71)&amp;CHAR(10)),""),
IFERROR(_xlfn.CONCAT(_xlfn._xlws.FILTER(Cartographie_non_cyber_serveurs[Champ d''application],Cartographie_non_cyber_serveurs[Contrôle NIST]=B71)&amp;CHAR(10)),"")
)</f>
        <v/>
      </c>
    </row>
    <row r="72" spans="1:19" ht="73.5" customHeight="1" x14ac:dyDescent="0.3">
      <c r="A72" s="284" t="s">
        <v>9</v>
      </c>
      <c r="B72" s="285" t="s">
        <v>65</v>
      </c>
      <c r="C72" s="284" t="s">
        <v>505</v>
      </c>
      <c r="D7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2" s="287">
        <f>Tableau_de_bord_par_contrôle[[#This Row],[Émissions annuelles totales de CO2e(kgCO2e)]]/(1000*Total)</f>
        <v>0</v>
      </c>
      <c r="F72" s="288">
        <f xml:space="preserve">
SUMIF(Cartographie_des_appareils_poste_de_travail_ordinateur_portable[Contrôle NIST],B72,Cartographie_des_appareils_poste_de_travail_ordinateur_portable[Émissions totales (kgC02e)])
+SUMIF(Cartographie_des_appareils_poste_de_travail_ordinateur_de_bureau[Contrôle NIST],B72,Cartographie_des_appareils_poste_de_travail_ordinateur_de_bureau[Émissions totales (kgC02e)])
+SUMIF(Cartographie_des_appareils_écrans[Contrôle NIST],B72,Cartographie_des_appareils_écrans[Émissions totales (kgC02e)])+SUMIF(Cartographie_des_appareils_Smartphones[Contrôle NIST],B72,Cartographie_des_appareils_Smartphones[Émissions totales (kgC02e)])</f>
        <v>0</v>
      </c>
      <c r="G72" s="289" t="str" cm="1">
        <f t="array" ref="G72">_xlfn.CONCAT(
IFERROR(_xlfn.CONCAT(_xlfn._xlws.FILTER(Cartographie_des_appareils_poste_de_travail_ordinateur_portable[Champ d''application],Cartographie_des_appareils_poste_de_travail_ordinateur_portable[Contrôle NIST]=B72)&amp;CHAR(10)),""),
IFERROR(_xlfn.CONCAT(_xlfn._xlws.FILTER(#REF!,#REF!=B72)&amp;CHAR(10)),""),
IFERROR(_xlfn.CONCAT(_xlfn._xlws.FILTER(Cartographie_des_appareils_écrans[Champ d''application],Cartographie_des_appareils_écrans[Contrôle NIST]=B72)&amp;CHAR(10)),""),
IFERROR(_xlfn.CONCAT(_xlfn._xlws.FILTER(Cartographie_des_appareils_Smartphones[Champ d''application],Cartographie_des_appareils_Smartphones[Contrôle NIST]=B72)&amp;CHAR(10)),"")
)</f>
        <v/>
      </c>
      <c r="H72" s="288">
        <f>SUMIF(Cartographie_des_appareils[Contrôle NIST],B72,Cartographie_des_appareils[Émissions totales (kgC02e)])</f>
        <v>0</v>
      </c>
      <c r="I72" s="289" t="str" cm="1">
        <f t="array" ref="I72">IFERROR(_xlfn.CONCAT(_xlfn._xlws.FILTER(Cartographie_des_appareils[Champ d''application],Cartographie_des_appareils[Contrôle NIST]=B72)&amp;CHAR(10)),"")</f>
        <v/>
      </c>
      <c r="J72" s="288">
        <f>SUMIF(Cartographie_des_serveurs_de_sauvegarde[Contrôle NIST],B72,Cartographie_des_serveurs_de_sauvegarde[Émissions totales (kgC02e)])</f>
        <v>0</v>
      </c>
      <c r="K72" s="289" t="str" cm="1">
        <f t="array" ref="K72">_xlfn.CONCAT(
IFERROR(_xlfn.CONCAT(_xlfn._xlws.FILTER(Cartographie_non_cyber_serveurs[Champ d''application],Cartographie_non_cyber_serveurs[Contrôle NIST]=B72)&amp;CHAR(10)),""),
IFERROR(_xlfn.CONCAT(_xlfn._xlws.FILTER(Cartographie_des_serveurs_de_sauvegarde[Champ d''application],Cartographie_des_serveurs_de_sauvegarde[Contrôle NIST]=B72)&amp;CHAR(10)),""),
)</f>
        <v/>
      </c>
      <c r="L72" s="288">
        <f>SUMIF(Cartographie_Solutions_Sur_Site[Contrôle NIST],B72,Cartographie_Solutions_Sur_Site[Émissions totales de carbone du NIST (kgCO2e)])
+SUMIF(Cartographie_Solutions_sur_Cloud[Contrôle NIST],B72,Cartographie_Solutions_sur_Cloud[Émissions totales de carbone du NIST (kgCO2e)])</f>
        <v>0</v>
      </c>
      <c r="M72" s="289" t="str" cm="1">
        <f t="array" ref="M72">_xlfn.CONCAT(
IFERROR(_xlfn.CONCAT(_xlfn._xlws.FILTER(Cartographie_Solutions_Sur_Site[Nom de l''application],#REF!=B72)&amp;CHAR(10)),""),
IFERROR(_xlfn.CONCAT(_xlfn._xlws.FILTER(Cartographie_Solutions_sur_Cloud[Nom de l''application],#REF!=B72)&amp;CHAR(10)),"")
)</f>
        <v/>
      </c>
      <c r="N72" s="288">
        <f>SUMIF(Cartographie_des_TM_externes[Contrôle NIST],B72,Cartographie_des_TM_externes[Émissions de carbone du NIST (kgCO2e)])
+SUMIF(Cartographie_des_externes_prix_fixes[Contrôle NIST],B72,Cartographie_des_externes_prix_fixes[Émissions de carbone du NIST (kgCO2e)])</f>
        <v>0</v>
      </c>
      <c r="O72" s="289" t="str" cm="1">
        <f t="array" ref="O72">_xlfn.CONCAT(
IFERROR(_xlfn.CONCAT(_xlfn._xlws.FILTER(Cartographie_des_TM_externes[Nom du service],#REF!=B72)&amp;CHAR(10)),""),
IFERROR(_xlfn.CONCAT(_xlfn._xlws.FILTER(Cartographie_des_externes_prix_fixes[Nom du service],#REF!=B72)&amp;CHAR(10)),""))</f>
        <v/>
      </c>
      <c r="P72" s="288">
        <f>SUMIF(Cartographie_voyage[Contrôle NIST],B72,Cartographie_voyage[Émissions totales (kgC02e)])</f>
        <v>0</v>
      </c>
      <c r="Q72" s="290" t="str" cm="1">
        <f t="array" ref="Q72">IFERROR(_xlfn.CONCAT(_xlfn._xlws.FILTER(Cartographie_voyage[Type de transport],Cartographie_voyage[Contrôle NIST]=B72)&amp;CHAR(10)),"")</f>
        <v/>
      </c>
      <c r="R72" s="288">
        <f>SUMIF(Cartographie_poste_de_travail_non_cyber_ordinateur_portable[Contrôle NIST],B72,Cartographie_poste_de_travail_non_cyber_ordinateur_portable[Émissions totales (kgC02e)])
+SUMIF(Cartographie_poste_de_travail_non_cyber_ordinateur_de_bureau[Contrôle NIST],B72,Cartographie_poste_de_travail_non_cyber_ordinateur_de_bureau[Émissions totales (kgC02e)])
+SUMIF(Cartographie_non_cyber_VDI[Contrôle NIST],B72,Cartographie_non_cyber_VDI[Émissions totales (kgC02e)])
+SUMIF(Cartographie_non_cyber_serveurs[Contrôle NIST],B72,Cartographie_non_cyber_serveurs[Émissions totales (kgC02e)])</f>
        <v>0</v>
      </c>
      <c r="S72" s="289" t="str" cm="1">
        <f t="array" ref="S72">_xlfn.CONCAT(
IFERROR(_xlfn.CONCAT(_xlfn._xlws.FILTER(Cartographie_poste_de_travail_non_cyber_ordinateur_portable[Champ d''application],Cartographie_poste_de_travail_non_cyber_ordinateur_portable[Contrôle NIST]=B72)&amp;CHAR(10)),""),
IFERROR(_xlfn.CONCAT(_xlfn._xlws.FILTER(Cartographie_poste_de_travail_non_cyber_ordinateur_de_bureau[Champ d''application],Cartographie_poste_de_travail_non_cyber_ordinateur_de_bureau[Contrôle NIST]=B72)&amp;CHAR(10)),""),
IFERROR(_xlfn.CONCAT(_xlfn._xlws.FILTER(Cartographie_non_cyber_VDI[Champ d''application],Cartographie_non_cyber_VDI[Contrôle NIST]=B72)&amp;CHAR(10)),""),
IFERROR(_xlfn.CONCAT(_xlfn._xlws.FILTER(Cartographie_non_cyber_serveurs[Champ d''application],Cartographie_non_cyber_serveurs[Contrôle NIST]=B72)&amp;CHAR(10)),"")
)</f>
        <v/>
      </c>
    </row>
    <row r="73" spans="1:19" ht="73.5" customHeight="1" x14ac:dyDescent="0.3">
      <c r="A73" s="284" t="s">
        <v>9</v>
      </c>
      <c r="B73" s="285" t="s">
        <v>66</v>
      </c>
      <c r="C73" s="284" t="s">
        <v>506</v>
      </c>
      <c r="D7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3" s="287">
        <f>Tableau_de_bord_par_contrôle[[#This Row],[Émissions annuelles totales de CO2e(kgCO2e)]]/(1000*Total)</f>
        <v>0</v>
      </c>
      <c r="F73" s="288">
        <f xml:space="preserve">
SUMIF(Cartographie_des_appareils_poste_de_travail_ordinateur_portable[Contrôle NIST],B73,Cartographie_des_appareils_poste_de_travail_ordinateur_portable[Émissions totales (kgC02e)])
+SUMIF(Cartographie_des_appareils_poste_de_travail_ordinateur_de_bureau[Contrôle NIST],B73,Cartographie_des_appareils_poste_de_travail_ordinateur_de_bureau[Émissions totales (kgC02e)])
+SUMIF(Cartographie_des_appareils_écrans[Contrôle NIST],B73,Cartographie_des_appareils_écrans[Émissions totales (kgC02e)])+SUMIF(Cartographie_des_appareils_Smartphones[Contrôle NIST],B73,Cartographie_des_appareils_Smartphones[Émissions totales (kgC02e)])</f>
        <v>0</v>
      </c>
      <c r="G73" s="289" t="str" cm="1">
        <f t="array" ref="G73">_xlfn.CONCAT(
IFERROR(_xlfn.CONCAT(_xlfn._xlws.FILTER(Cartographie_des_appareils_poste_de_travail_ordinateur_portable[Champ d''application],Cartographie_des_appareils_poste_de_travail_ordinateur_portable[Contrôle NIST]=B73)&amp;CHAR(10)),""),
IFERROR(_xlfn.CONCAT(_xlfn._xlws.FILTER(#REF!,#REF!=B73)&amp;CHAR(10)),""),
IFERROR(_xlfn.CONCAT(_xlfn._xlws.FILTER(Cartographie_des_appareils_écrans[Champ d''application],Cartographie_des_appareils_écrans[Contrôle NIST]=B73)&amp;CHAR(10)),""),
IFERROR(_xlfn.CONCAT(_xlfn._xlws.FILTER(Cartographie_des_appareils_Smartphones[Champ d''application],Cartographie_des_appareils_Smartphones[Contrôle NIST]=B73)&amp;CHAR(10)),"")
)</f>
        <v/>
      </c>
      <c r="H73" s="288">
        <f>SUMIF(Cartographie_des_appareils[Contrôle NIST],B73,Cartographie_des_appareils[Émissions totales (kgC02e)])</f>
        <v>0</v>
      </c>
      <c r="I73" s="289" t="str" cm="1">
        <f t="array" ref="I73">IFERROR(_xlfn.CONCAT(_xlfn._xlws.FILTER(Cartographie_des_appareils[Champ d''application],Cartographie_des_appareils[Contrôle NIST]=B73)&amp;CHAR(10)),"")</f>
        <v/>
      </c>
      <c r="J73" s="288">
        <f>SUMIF(Cartographie_des_serveurs_de_sauvegarde[Contrôle NIST],B73,Cartographie_des_serveurs_de_sauvegarde[Émissions totales (kgC02e)])</f>
        <v>0</v>
      </c>
      <c r="K73" s="289" t="str" cm="1">
        <f t="array" ref="K73">_xlfn.CONCAT(
IFERROR(_xlfn.CONCAT(_xlfn._xlws.FILTER(Cartographie_non_cyber_serveurs[Champ d''application],Cartographie_non_cyber_serveurs[Contrôle NIST]=B73)&amp;CHAR(10)),""),
IFERROR(_xlfn.CONCAT(_xlfn._xlws.FILTER(Cartographie_des_serveurs_de_sauvegarde[Champ d''application],Cartographie_des_serveurs_de_sauvegarde[Contrôle NIST]=B73)&amp;CHAR(10)),""),
)</f>
        <v/>
      </c>
      <c r="L73" s="288">
        <f>SUMIF(Cartographie_Solutions_Sur_Site[Contrôle NIST],B73,Cartographie_Solutions_Sur_Site[Émissions totales de carbone du NIST (kgCO2e)])
+SUMIF(Cartographie_Solutions_sur_Cloud[Contrôle NIST],B73,Cartographie_Solutions_sur_Cloud[Émissions totales de carbone du NIST (kgCO2e)])</f>
        <v>0</v>
      </c>
      <c r="M73" s="289" t="str" cm="1">
        <f t="array" ref="M73">_xlfn.CONCAT(
IFERROR(_xlfn.CONCAT(_xlfn._xlws.FILTER(Cartographie_Solutions_Sur_Site[Nom de l''application],#REF!=B73)&amp;CHAR(10)),""),
IFERROR(_xlfn.CONCAT(_xlfn._xlws.FILTER(Cartographie_Solutions_sur_Cloud[Nom de l''application],#REF!=B73)&amp;CHAR(10)),"")
)</f>
        <v/>
      </c>
      <c r="N73" s="288">
        <f>SUMIF(Cartographie_des_TM_externes[Contrôle NIST],B73,Cartographie_des_TM_externes[Émissions de carbone du NIST (kgCO2e)])
+SUMIF(Cartographie_des_externes_prix_fixes[Contrôle NIST],B73,Cartographie_des_externes_prix_fixes[Émissions de carbone du NIST (kgCO2e)])</f>
        <v>0</v>
      </c>
      <c r="O73" s="289" t="str" cm="1">
        <f t="array" ref="O73">_xlfn.CONCAT(
IFERROR(_xlfn.CONCAT(_xlfn._xlws.FILTER(Cartographie_des_TM_externes[Nom du service],#REF!=B73)&amp;CHAR(10)),""),
IFERROR(_xlfn.CONCAT(_xlfn._xlws.FILTER(Cartographie_des_externes_prix_fixes[Nom du service],#REF!=B73)&amp;CHAR(10)),""))</f>
        <v/>
      </c>
      <c r="P73" s="288">
        <f>SUMIF(Cartographie_voyage[Contrôle NIST],B73,Cartographie_voyage[Émissions totales (kgC02e)])</f>
        <v>0</v>
      </c>
      <c r="Q73" s="290" t="str" cm="1">
        <f t="array" ref="Q73">IFERROR(_xlfn.CONCAT(_xlfn._xlws.FILTER(Cartographie_voyage[Type de transport],Cartographie_voyage[Contrôle NIST]=B73)&amp;CHAR(10)),"")</f>
        <v/>
      </c>
      <c r="R73" s="288">
        <f>SUMIF(Cartographie_poste_de_travail_non_cyber_ordinateur_portable[Contrôle NIST],B73,Cartographie_poste_de_travail_non_cyber_ordinateur_portable[Émissions totales (kgC02e)])
+SUMIF(Cartographie_poste_de_travail_non_cyber_ordinateur_de_bureau[Contrôle NIST],B73,Cartographie_poste_de_travail_non_cyber_ordinateur_de_bureau[Émissions totales (kgC02e)])
+SUMIF(Cartographie_non_cyber_VDI[Contrôle NIST],B73,Cartographie_non_cyber_VDI[Émissions totales (kgC02e)])
+SUMIF(Cartographie_non_cyber_serveurs[Contrôle NIST],B73,Cartographie_non_cyber_serveurs[Émissions totales (kgC02e)])</f>
        <v>0</v>
      </c>
      <c r="S73" s="289" t="str" cm="1">
        <f t="array" ref="S73">_xlfn.CONCAT(
IFERROR(_xlfn.CONCAT(_xlfn._xlws.FILTER(Cartographie_poste_de_travail_non_cyber_ordinateur_portable[Champ d''application],Cartographie_poste_de_travail_non_cyber_ordinateur_portable[Contrôle NIST]=B73)&amp;CHAR(10)),""),
IFERROR(_xlfn.CONCAT(_xlfn._xlws.FILTER(Cartographie_poste_de_travail_non_cyber_ordinateur_de_bureau[Champ d''application],Cartographie_poste_de_travail_non_cyber_ordinateur_de_bureau[Contrôle NIST]=B73)&amp;CHAR(10)),""),
IFERROR(_xlfn.CONCAT(_xlfn._xlws.FILTER(Cartographie_non_cyber_VDI[Champ d''application],Cartographie_non_cyber_VDI[Contrôle NIST]=B73)&amp;CHAR(10)),""),
IFERROR(_xlfn.CONCAT(_xlfn._xlws.FILTER(Cartographie_non_cyber_serveurs[Champ d''application],Cartographie_non_cyber_serveurs[Contrôle NIST]=B73)&amp;CHAR(10)),"")
)</f>
        <v/>
      </c>
    </row>
    <row r="74" spans="1:19" ht="73.5" customHeight="1" x14ac:dyDescent="0.3">
      <c r="A74" s="284" t="s">
        <v>10</v>
      </c>
      <c r="B74" s="285" t="s">
        <v>67</v>
      </c>
      <c r="C74" s="284" t="s">
        <v>507</v>
      </c>
      <c r="D7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24349.917117249999</v>
      </c>
      <c r="E74" s="287">
        <f>Tableau_de_bord_par_contrôle[[#This Row],[Émissions annuelles totales de CO2e(kgCO2e)]]/(1000*Total)</f>
        <v>4.3326617966293612E-3</v>
      </c>
      <c r="F74" s="288">
        <f xml:space="preserve">
SUMIF(Cartographie_des_appareils_poste_de_travail_ordinateur_portable[Contrôle NIST],B74,Cartographie_des_appareils_poste_de_travail_ordinateur_portable[Émissions totales (kgC02e)])
+SUMIF(Cartographie_des_appareils_poste_de_travail_ordinateur_de_bureau[Contrôle NIST],B74,Cartographie_des_appareils_poste_de_travail_ordinateur_de_bureau[Émissions totales (kgC02e)])
+SUMIF(Cartographie_des_appareils_écrans[Contrôle NIST],B74,Cartographie_des_appareils_écrans[Émissions totales (kgC02e)])+SUMIF(Cartographie_des_appareils_Smartphones[Contrôle NIST],B74,Cartographie_des_appareils_Smartphones[Émissions totales (kgC02e)])</f>
        <v>0</v>
      </c>
      <c r="G74" s="289" t="str" cm="1">
        <f t="array" ref="G74">_xlfn.CONCAT(
IFERROR(_xlfn.CONCAT(_xlfn._xlws.FILTER(Cartographie_des_appareils_poste_de_travail_ordinateur_portable[Champ d''application],Cartographie_des_appareils_poste_de_travail_ordinateur_portable[Contrôle NIST]=B74)&amp;CHAR(10)),""),
IFERROR(_xlfn.CONCAT(_xlfn._xlws.FILTER(#REF!,#REF!=B74)&amp;CHAR(10)),""),
IFERROR(_xlfn.CONCAT(_xlfn._xlws.FILTER(Cartographie_des_appareils_écrans[Champ d''application],Cartographie_des_appareils_écrans[Contrôle NIST]=B74)&amp;CHAR(10)),""),
IFERROR(_xlfn.CONCAT(_xlfn._xlws.FILTER(Cartographie_des_appareils_Smartphones[Champ d''application],Cartographie_des_appareils_Smartphones[Contrôle NIST]=B74)&amp;CHAR(10)),"")
)</f>
        <v/>
      </c>
      <c r="H74" s="288">
        <f>SUMIF(Cartographie_des_appareils[Contrôle NIST],B74,Cartographie_des_appareils[Émissions totales (kgC02e)])</f>
        <v>0</v>
      </c>
      <c r="I74" s="289" t="str" cm="1">
        <f t="array" ref="I74">IFERROR(_xlfn.CONCAT(_xlfn._xlws.FILTER(Cartographie_des_appareils[Champ d''application],Cartographie_des_appareils[Contrôle NIST]=B74)&amp;CHAR(10)),"")</f>
        <v/>
      </c>
      <c r="J74" s="288">
        <f>SUMIF(Cartographie_des_serveurs_de_sauvegarde[Contrôle NIST],B74,Cartographie_des_serveurs_de_sauvegarde[Émissions totales (kgC02e)])</f>
        <v>0</v>
      </c>
      <c r="K74" s="289" t="str" cm="1">
        <f t="array" ref="K74">_xlfn.CONCAT(
IFERROR(_xlfn.CONCAT(_xlfn._xlws.FILTER(Cartographie_non_cyber_serveurs[Champ d''application],Cartographie_non_cyber_serveurs[Contrôle NIST]=B74)&amp;CHAR(10)),""),
IFERROR(_xlfn.CONCAT(_xlfn._xlws.FILTER(Cartographie_des_serveurs_de_sauvegarde[Champ d''application],Cartographie_des_serveurs_de_sauvegarde[Contrôle NIST]=B74)&amp;CHAR(10)),""),
)</f>
        <v xml:space="preserve">Dans les serveurs sur site, le CPU/RAM des serveurs non cyber utilisés pour l'antivirus est utilisé pour la gestion de la sécurité.
</v>
      </c>
      <c r="L74" s="288">
        <f>SUMIF(Cartographie_Solutions_Sur_Site[Contrôle NIST],B74,Cartographie_Solutions_Sur_Site[Émissions totales de carbone du NIST (kgCO2e)])
+SUMIF(Cartographie_Solutions_sur_Cloud[Contrôle NIST],B74,Cartographie_Solutions_sur_Cloud[Émissions totales de carbone du NIST (kgCO2e)])</f>
        <v>0</v>
      </c>
      <c r="M74" s="289" t="str" cm="1">
        <f t="array" ref="M74">_xlfn.CONCAT(
IFERROR(_xlfn.CONCAT(_xlfn._xlws.FILTER(Cartographie_Solutions_Sur_Site[Nom de l''application],#REF!=B74)&amp;CHAR(10)),""),
IFERROR(_xlfn.CONCAT(_xlfn._xlws.FILTER(Cartographie_Solutions_sur_Cloud[Nom de l''application],#REF!=B74)&amp;CHAR(10)),"")
)</f>
        <v/>
      </c>
      <c r="N74" s="288">
        <f>SUMIF(Cartographie_des_TM_externes[Contrôle NIST],B74,Cartographie_des_TM_externes[Émissions de carbone du NIST (kgCO2e)])
+SUMIF(Cartographie_des_externes_prix_fixes[Contrôle NIST],B74,Cartographie_des_externes_prix_fixes[Émissions de carbone du NIST (kgCO2e)])</f>
        <v>0</v>
      </c>
      <c r="O74" s="289" t="str" cm="1">
        <f t="array" ref="O74">_xlfn.CONCAT(
IFERROR(_xlfn.CONCAT(_xlfn._xlws.FILTER(Cartographie_des_TM_externes[Nom du service],#REF!=B74)&amp;CHAR(10)),""),
IFERROR(_xlfn.CONCAT(_xlfn._xlws.FILTER(Cartographie_des_externes_prix_fixes[Nom du service],#REF!=B74)&amp;CHAR(10)),""))</f>
        <v/>
      </c>
      <c r="P74" s="288">
        <f>SUMIF(Cartographie_voyage[Contrôle NIST],B74,Cartographie_voyage[Émissions totales (kgC02e)])</f>
        <v>0</v>
      </c>
      <c r="Q74" s="290" t="str" cm="1">
        <f t="array" ref="Q74">IFERROR(_xlfn.CONCAT(_xlfn._xlws.FILTER(Cartographie_voyage[Type de transport],Cartographie_voyage[Contrôle NIST]=B74)&amp;CHAR(10)),"")</f>
        <v/>
      </c>
      <c r="R74" s="288">
        <f>SUMIF(Cartographie_poste_de_travail_non_cyber_ordinateur_portable[Contrôle NIST],B74,Cartographie_poste_de_travail_non_cyber_ordinateur_portable[Émissions totales (kgC02e)])
+SUMIF(Cartographie_poste_de_travail_non_cyber_ordinateur_de_bureau[Contrôle NIST],B74,Cartographie_poste_de_travail_non_cyber_ordinateur_de_bureau[Émissions totales (kgC02e)])
+SUMIF(Cartographie_non_cyber_VDI[Contrôle NIST],B74,Cartographie_non_cyber_VDI[Émissions totales (kgC02e)])
+SUMIF(Cartographie_non_cyber_serveurs[Contrôle NIST],B74,Cartographie_non_cyber_serveurs[Émissions totales (kgC02e)])</f>
        <v>24349.917117249999</v>
      </c>
      <c r="S74" s="289" t="str" cm="1">
        <f t="array" ref="S74">_xlfn.CONCAT(
IFERROR(_xlfn.CONCAT(_xlfn._xlws.FILTER(Cartographie_poste_de_travail_non_cyber_ordinateur_portable[Champ d''application],Cartographie_poste_de_travail_non_cyber_ordinateur_portable[Contrôle NIST]=B74)&amp;CHAR(10)),""),
IFERROR(_xlfn.CONCAT(_xlfn._xlws.FILTER(Cartographie_poste_de_travail_non_cyber_ordinateur_de_bureau[Champ d''application],Cartographie_poste_de_travail_non_cyber_ordinateur_de_bureau[Contrôle NIST]=B74)&amp;CHAR(10)),""),
IFERROR(_xlfn.CONCAT(_xlfn._xlws.FILTER(Cartographie_non_cyber_VDI[Champ d''application],Cartographie_non_cyber_VDI[Contrôle NIST]=B74)&amp;CHAR(10)),""),
IFERROR(_xlfn.CONCAT(_xlfn._xlws.FILTER(Cartographie_non_cyber_serveurs[Champ d''application],Cartographie_non_cyber_serveurs[Contrôle NIST]=B74)&amp;CHAR(10)),"")
)</f>
        <v xml:space="preserve">Postes de travail utilisés par les employés internes non Cyber - CPU/RAM utilisés pour l'antivirus/le correctif
Postes de travail utilisés par des contractants non Cyber donnés par votre entreprise - CPU/RAM utilisés pour l'antivirus/les correctifs
Postes de travail utilisés par les employés internes non Cyber - CPU/RAM utilisés pour l'antivirus/le correctif
Postes de travail utilisés par des contractants non Cyber donnés par votre entreprise - CPU/RAM utilisés pour l'antivirus/les correctifs
Dans les serveurs sur site, le CPU/RAM des serveurs non cyber utilisés pour l'antivirus est utilisé pour la gestion de la sécurité.
</v>
      </c>
    </row>
    <row r="75" spans="1:19" ht="73.5" customHeight="1" x14ac:dyDescent="0.3">
      <c r="A75" s="284" t="s">
        <v>10</v>
      </c>
      <c r="B75" s="285" t="s">
        <v>68</v>
      </c>
      <c r="C75" s="284" t="s">
        <v>282</v>
      </c>
      <c r="D7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5" s="287">
        <f>Tableau_de_bord_par_contrôle[[#This Row],[Émissions annuelles totales de CO2e(kgCO2e)]]/(1000*Total)</f>
        <v>0</v>
      </c>
      <c r="F75" s="288">
        <f xml:space="preserve">
SUMIF(Cartographie_des_appareils_poste_de_travail_ordinateur_portable[Contrôle NIST],B75,Cartographie_des_appareils_poste_de_travail_ordinateur_portable[Émissions totales (kgC02e)])
+SUMIF(Cartographie_des_appareils_poste_de_travail_ordinateur_de_bureau[Contrôle NIST],B75,Cartographie_des_appareils_poste_de_travail_ordinateur_de_bureau[Émissions totales (kgC02e)])
+SUMIF(Cartographie_des_appareils_écrans[Contrôle NIST],B75,Cartographie_des_appareils_écrans[Émissions totales (kgC02e)])+SUMIF(Cartographie_des_appareils_Smartphones[Contrôle NIST],B75,Cartographie_des_appareils_Smartphones[Émissions totales (kgC02e)])</f>
        <v>0</v>
      </c>
      <c r="G75" s="289" t="str" cm="1">
        <f t="array" ref="G75">_xlfn.CONCAT(
IFERROR(_xlfn.CONCAT(_xlfn._xlws.FILTER(Cartographie_des_appareils_poste_de_travail_ordinateur_portable[Champ d''application],Cartographie_des_appareils_poste_de_travail_ordinateur_portable[Contrôle NIST]=B75)&amp;CHAR(10)),""),
IFERROR(_xlfn.CONCAT(_xlfn._xlws.FILTER(#REF!,#REF!=B75)&amp;CHAR(10)),""),
IFERROR(_xlfn.CONCAT(_xlfn._xlws.FILTER(Cartographie_des_appareils_écrans[Champ d''application],Cartographie_des_appareils_écrans[Contrôle NIST]=B75)&amp;CHAR(10)),""),
IFERROR(_xlfn.CONCAT(_xlfn._xlws.FILTER(Cartographie_des_appareils_Smartphones[Champ d''application],Cartographie_des_appareils_Smartphones[Contrôle NIST]=B75)&amp;CHAR(10)),"")
)</f>
        <v/>
      </c>
      <c r="H75" s="288">
        <f>SUMIF(Cartographie_des_appareils[Contrôle NIST],B75,Cartographie_des_appareils[Émissions totales (kgC02e)])</f>
        <v>0</v>
      </c>
      <c r="I75" s="289" t="str" cm="1">
        <f t="array" ref="I75">IFERROR(_xlfn.CONCAT(_xlfn._xlws.FILTER(Cartographie_des_appareils[Champ d''application],Cartographie_des_appareils[Contrôle NIST]=B75)&amp;CHAR(10)),"")</f>
        <v/>
      </c>
      <c r="J75" s="288">
        <f>SUMIF(Cartographie_des_serveurs_de_sauvegarde[Contrôle NIST],B75,Cartographie_des_serveurs_de_sauvegarde[Émissions totales (kgC02e)])</f>
        <v>0</v>
      </c>
      <c r="K75" s="289" t="str" cm="1">
        <f t="array" ref="K75">_xlfn.CONCAT(
IFERROR(_xlfn.CONCAT(_xlfn._xlws.FILTER(Cartographie_non_cyber_serveurs[Champ d''application],Cartographie_non_cyber_serveurs[Contrôle NIST]=B75)&amp;CHAR(10)),""),
IFERROR(_xlfn.CONCAT(_xlfn._xlws.FILTER(Cartographie_des_serveurs_de_sauvegarde[Champ d''application],Cartographie_des_serveurs_de_sauvegarde[Contrôle NIST]=B75)&amp;CHAR(10)),""),
)</f>
        <v/>
      </c>
      <c r="L75" s="288">
        <f>SUMIF(Cartographie_Solutions_Sur_Site[Contrôle NIST],B75,Cartographie_Solutions_Sur_Site[Émissions totales de carbone du NIST (kgCO2e)])
+SUMIF(Cartographie_Solutions_sur_Cloud[Contrôle NIST],B75,Cartographie_Solutions_sur_Cloud[Émissions totales de carbone du NIST (kgCO2e)])</f>
        <v>0</v>
      </c>
      <c r="M75" s="289" t="str" cm="1">
        <f t="array" ref="M75">_xlfn.CONCAT(
IFERROR(_xlfn.CONCAT(_xlfn._xlws.FILTER(Cartographie_Solutions_Sur_Site[Nom de l''application],#REF!=B75)&amp;CHAR(10)),""),
IFERROR(_xlfn.CONCAT(_xlfn._xlws.FILTER(Cartographie_Solutions_sur_Cloud[Nom de l''application],#REF!=B75)&amp;CHAR(10)),"")
)</f>
        <v/>
      </c>
      <c r="N75" s="288">
        <f>SUMIF(Cartographie_des_TM_externes[Contrôle NIST],B75,Cartographie_des_TM_externes[Émissions de carbone du NIST (kgCO2e)])
+SUMIF(Cartographie_des_externes_prix_fixes[Contrôle NIST],B75,Cartographie_des_externes_prix_fixes[Émissions de carbone du NIST (kgCO2e)])</f>
        <v>0</v>
      </c>
      <c r="O75" s="289" t="str" cm="1">
        <f t="array" ref="O75">_xlfn.CONCAT(
IFERROR(_xlfn.CONCAT(_xlfn._xlws.FILTER(Cartographie_des_TM_externes[Nom du service],#REF!=B75)&amp;CHAR(10)),""),
IFERROR(_xlfn.CONCAT(_xlfn._xlws.FILTER(Cartographie_des_externes_prix_fixes[Nom du service],#REF!=B75)&amp;CHAR(10)),""))</f>
        <v/>
      </c>
      <c r="P75" s="288">
        <f>SUMIF(Cartographie_voyage[Contrôle NIST],B75,Cartographie_voyage[Émissions totales (kgC02e)])</f>
        <v>0</v>
      </c>
      <c r="Q75" s="290" t="str" cm="1">
        <f t="array" ref="Q75">IFERROR(_xlfn.CONCAT(_xlfn._xlws.FILTER(Cartographie_voyage[Type de transport],Cartographie_voyage[Contrôle NIST]=B75)&amp;CHAR(10)),"")</f>
        <v/>
      </c>
      <c r="R75" s="288">
        <f>SUMIF(Cartographie_poste_de_travail_non_cyber_ordinateur_portable[Contrôle NIST],B75,Cartographie_poste_de_travail_non_cyber_ordinateur_portable[Émissions totales (kgC02e)])
+SUMIF(Cartographie_poste_de_travail_non_cyber_ordinateur_de_bureau[Contrôle NIST],B75,Cartographie_poste_de_travail_non_cyber_ordinateur_de_bureau[Émissions totales (kgC02e)])
+SUMIF(Cartographie_non_cyber_VDI[Contrôle NIST],B75,Cartographie_non_cyber_VDI[Émissions totales (kgC02e)])
+SUMIF(Cartographie_non_cyber_serveurs[Contrôle NIST],B75,Cartographie_non_cyber_serveurs[Émissions totales (kgC02e)])</f>
        <v>0</v>
      </c>
      <c r="S75" s="289" t="str" cm="1">
        <f t="array" ref="S75">_xlfn.CONCAT(
IFERROR(_xlfn.CONCAT(_xlfn._xlws.FILTER(Cartographie_poste_de_travail_non_cyber_ordinateur_portable[Champ d''application],Cartographie_poste_de_travail_non_cyber_ordinateur_portable[Contrôle NIST]=B75)&amp;CHAR(10)),""),
IFERROR(_xlfn.CONCAT(_xlfn._xlws.FILTER(Cartographie_poste_de_travail_non_cyber_ordinateur_de_bureau[Champ d''application],Cartographie_poste_de_travail_non_cyber_ordinateur_de_bureau[Contrôle NIST]=B75)&amp;CHAR(10)),""),
IFERROR(_xlfn.CONCAT(_xlfn._xlws.FILTER(Cartographie_non_cyber_VDI[Champ d''application],Cartographie_non_cyber_VDI[Contrôle NIST]=B75)&amp;CHAR(10)),""),
IFERROR(_xlfn.CONCAT(_xlfn._xlws.FILTER(Cartographie_non_cyber_serveurs[Champ d''application],Cartographie_non_cyber_serveurs[Contrôle NIST]=B75)&amp;CHAR(10)),"")
)</f>
        <v/>
      </c>
    </row>
    <row r="76" spans="1:19" ht="73.5" customHeight="1" x14ac:dyDescent="0.3">
      <c r="A76" s="284" t="s">
        <v>10</v>
      </c>
      <c r="B76" s="285" t="s">
        <v>69</v>
      </c>
      <c r="C76" s="284" t="s">
        <v>508</v>
      </c>
      <c r="D7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6" s="287">
        <f>Tableau_de_bord_par_contrôle[[#This Row],[Émissions annuelles totales de CO2e(kgCO2e)]]/(1000*Total)</f>
        <v>0</v>
      </c>
      <c r="F76" s="288">
        <f xml:space="preserve">
SUMIF(Cartographie_des_appareils_poste_de_travail_ordinateur_portable[Contrôle NIST],B76,Cartographie_des_appareils_poste_de_travail_ordinateur_portable[Émissions totales (kgC02e)])
+SUMIF(Cartographie_des_appareils_poste_de_travail_ordinateur_de_bureau[Contrôle NIST],B76,Cartographie_des_appareils_poste_de_travail_ordinateur_de_bureau[Émissions totales (kgC02e)])
+SUMIF(Cartographie_des_appareils_écrans[Contrôle NIST],B76,Cartographie_des_appareils_écrans[Émissions totales (kgC02e)])+SUMIF(Cartographie_des_appareils_Smartphones[Contrôle NIST],B76,Cartographie_des_appareils_Smartphones[Émissions totales (kgC02e)])</f>
        <v>0</v>
      </c>
      <c r="G76" s="289" t="str" cm="1">
        <f t="array" ref="G76">_xlfn.CONCAT(
IFERROR(_xlfn.CONCAT(_xlfn._xlws.FILTER(Cartographie_des_appareils_poste_de_travail_ordinateur_portable[Champ d''application],Cartographie_des_appareils_poste_de_travail_ordinateur_portable[Contrôle NIST]=B76)&amp;CHAR(10)),""),
IFERROR(_xlfn.CONCAT(_xlfn._xlws.FILTER(#REF!,#REF!=B76)&amp;CHAR(10)),""),
IFERROR(_xlfn.CONCAT(_xlfn._xlws.FILTER(Cartographie_des_appareils_écrans[Champ d''application],Cartographie_des_appareils_écrans[Contrôle NIST]=B76)&amp;CHAR(10)),""),
IFERROR(_xlfn.CONCAT(_xlfn._xlws.FILTER(Cartographie_des_appareils_Smartphones[Champ d''application],Cartographie_des_appareils_Smartphones[Contrôle NIST]=B76)&amp;CHAR(10)),"")
)</f>
        <v/>
      </c>
      <c r="H76" s="288">
        <f>SUMIF(Cartographie_des_appareils[Contrôle NIST],B76,Cartographie_des_appareils[Émissions totales (kgC02e)])</f>
        <v>0</v>
      </c>
      <c r="I76" s="289" t="str" cm="1">
        <f t="array" ref="I76">IFERROR(_xlfn.CONCAT(_xlfn._xlws.FILTER(Cartographie_des_appareils[Champ d''application],Cartographie_des_appareils[Contrôle NIST]=B76)&amp;CHAR(10)),"")</f>
        <v/>
      </c>
      <c r="J76" s="288">
        <f>SUMIF(Cartographie_des_serveurs_de_sauvegarde[Contrôle NIST],B76,Cartographie_des_serveurs_de_sauvegarde[Émissions totales (kgC02e)])</f>
        <v>0</v>
      </c>
      <c r="K76" s="289" t="str" cm="1">
        <f t="array" ref="K76">_xlfn.CONCAT(
IFERROR(_xlfn.CONCAT(_xlfn._xlws.FILTER(Cartographie_non_cyber_serveurs[Champ d''application],Cartographie_non_cyber_serveurs[Contrôle NIST]=B76)&amp;CHAR(10)),""),
IFERROR(_xlfn.CONCAT(_xlfn._xlws.FILTER(Cartographie_des_serveurs_de_sauvegarde[Champ d''application],Cartographie_des_serveurs_de_sauvegarde[Contrôle NIST]=B76)&amp;CHAR(10)),""),
)</f>
        <v/>
      </c>
      <c r="L76" s="288">
        <f>SUMIF(Cartographie_Solutions_Sur_Site[Contrôle NIST],B76,Cartographie_Solutions_Sur_Site[Émissions totales de carbone du NIST (kgCO2e)])
+SUMIF(Cartographie_Solutions_sur_Cloud[Contrôle NIST],B76,Cartographie_Solutions_sur_Cloud[Émissions totales de carbone du NIST (kgCO2e)])</f>
        <v>0</v>
      </c>
      <c r="M76" s="289" t="str" cm="1">
        <f t="array" ref="M76">_xlfn.CONCAT(
IFERROR(_xlfn.CONCAT(_xlfn._xlws.FILTER(Cartographie_Solutions_Sur_Site[Nom de l''application],#REF!=B76)&amp;CHAR(10)),""),
IFERROR(_xlfn.CONCAT(_xlfn._xlws.FILTER(Cartographie_Solutions_sur_Cloud[Nom de l''application],#REF!=B76)&amp;CHAR(10)),"")
)</f>
        <v/>
      </c>
      <c r="N76" s="288">
        <f>SUMIF(Cartographie_des_TM_externes[Contrôle NIST],B76,Cartographie_des_TM_externes[Émissions de carbone du NIST (kgCO2e)])
+SUMIF(Cartographie_des_externes_prix_fixes[Contrôle NIST],B76,Cartographie_des_externes_prix_fixes[Émissions de carbone du NIST (kgCO2e)])</f>
        <v>0</v>
      </c>
      <c r="O76" s="289" t="str" cm="1">
        <f t="array" ref="O76">_xlfn.CONCAT(
IFERROR(_xlfn.CONCAT(_xlfn._xlws.FILTER(Cartographie_des_TM_externes[Nom du service],#REF!=B76)&amp;CHAR(10)),""),
IFERROR(_xlfn.CONCAT(_xlfn._xlws.FILTER(Cartographie_des_externes_prix_fixes[Nom du service],#REF!=B76)&amp;CHAR(10)),""))</f>
        <v/>
      </c>
      <c r="P76" s="288">
        <f>SUMIF(Cartographie_voyage[Contrôle NIST],B76,Cartographie_voyage[Émissions totales (kgC02e)])</f>
        <v>0</v>
      </c>
      <c r="Q76" s="290" t="str" cm="1">
        <f t="array" ref="Q76">IFERROR(_xlfn.CONCAT(_xlfn._xlws.FILTER(Cartographie_voyage[Type de transport],Cartographie_voyage[Contrôle NIST]=B76)&amp;CHAR(10)),"")</f>
        <v/>
      </c>
      <c r="R76" s="288">
        <f>SUMIF(Cartographie_poste_de_travail_non_cyber_ordinateur_portable[Contrôle NIST],B76,Cartographie_poste_de_travail_non_cyber_ordinateur_portable[Émissions totales (kgC02e)])
+SUMIF(Cartographie_poste_de_travail_non_cyber_ordinateur_de_bureau[Contrôle NIST],B76,Cartographie_poste_de_travail_non_cyber_ordinateur_de_bureau[Émissions totales (kgC02e)])
+SUMIF(Cartographie_non_cyber_VDI[Contrôle NIST],B76,Cartographie_non_cyber_VDI[Émissions totales (kgC02e)])
+SUMIF(Cartographie_non_cyber_serveurs[Contrôle NIST],B76,Cartographie_non_cyber_serveurs[Émissions totales (kgC02e)])</f>
        <v>0</v>
      </c>
      <c r="S76" s="289" t="str" cm="1">
        <f t="array" ref="S76">_xlfn.CONCAT(
IFERROR(_xlfn.CONCAT(_xlfn._xlws.FILTER(Cartographie_poste_de_travail_non_cyber_ordinateur_portable[Champ d''application],Cartographie_poste_de_travail_non_cyber_ordinateur_portable[Contrôle NIST]=B76)&amp;CHAR(10)),""),
IFERROR(_xlfn.CONCAT(_xlfn._xlws.FILTER(Cartographie_poste_de_travail_non_cyber_ordinateur_de_bureau[Champ d''application],Cartographie_poste_de_travail_non_cyber_ordinateur_de_bureau[Contrôle NIST]=B76)&amp;CHAR(10)),""),
IFERROR(_xlfn.CONCAT(_xlfn._xlws.FILTER(Cartographie_non_cyber_VDI[Champ d''application],Cartographie_non_cyber_VDI[Contrôle NIST]=B76)&amp;CHAR(10)),""),
IFERROR(_xlfn.CONCAT(_xlfn._xlws.FILTER(Cartographie_non_cyber_serveurs[Champ d''application],Cartographie_non_cyber_serveurs[Contrôle NIST]=B76)&amp;CHAR(10)),"")
)</f>
        <v/>
      </c>
    </row>
    <row r="77" spans="1:19" ht="73.5" customHeight="1" x14ac:dyDescent="0.3">
      <c r="A77" s="284" t="s">
        <v>10</v>
      </c>
      <c r="B77" s="285" t="s">
        <v>70</v>
      </c>
      <c r="C77" s="284" t="s">
        <v>509</v>
      </c>
      <c r="D7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7" s="287">
        <f>Tableau_de_bord_par_contrôle[[#This Row],[Émissions annuelles totales de CO2e(kgCO2e)]]/(1000*Total)</f>
        <v>0</v>
      </c>
      <c r="F77" s="288">
        <f xml:space="preserve">
SUMIF(Cartographie_des_appareils_poste_de_travail_ordinateur_portable[Contrôle NIST],B77,Cartographie_des_appareils_poste_de_travail_ordinateur_portable[Émissions totales (kgC02e)])
+SUMIF(Cartographie_des_appareils_poste_de_travail_ordinateur_de_bureau[Contrôle NIST],B77,Cartographie_des_appareils_poste_de_travail_ordinateur_de_bureau[Émissions totales (kgC02e)])
+SUMIF(Cartographie_des_appareils_écrans[Contrôle NIST],B77,Cartographie_des_appareils_écrans[Émissions totales (kgC02e)])+SUMIF(Cartographie_des_appareils_Smartphones[Contrôle NIST],B77,Cartographie_des_appareils_Smartphones[Émissions totales (kgC02e)])</f>
        <v>0</v>
      </c>
      <c r="G77" s="289" t="str" cm="1">
        <f t="array" ref="G77">_xlfn.CONCAT(
IFERROR(_xlfn.CONCAT(_xlfn._xlws.FILTER(Cartographie_des_appareils_poste_de_travail_ordinateur_portable[Champ d''application],Cartographie_des_appareils_poste_de_travail_ordinateur_portable[Contrôle NIST]=B77)&amp;CHAR(10)),""),
IFERROR(_xlfn.CONCAT(_xlfn._xlws.FILTER(#REF!,#REF!=B77)&amp;CHAR(10)),""),
IFERROR(_xlfn.CONCAT(_xlfn._xlws.FILTER(Cartographie_des_appareils_écrans[Champ d''application],Cartographie_des_appareils_écrans[Contrôle NIST]=B77)&amp;CHAR(10)),""),
IFERROR(_xlfn.CONCAT(_xlfn._xlws.FILTER(Cartographie_des_appareils_Smartphones[Champ d''application],Cartographie_des_appareils_Smartphones[Contrôle NIST]=B77)&amp;CHAR(10)),"")
)</f>
        <v/>
      </c>
      <c r="H77" s="288">
        <f>SUMIF(Cartographie_des_appareils[Contrôle NIST],B77,Cartographie_des_appareils[Émissions totales (kgC02e)])</f>
        <v>0</v>
      </c>
      <c r="I77" s="289" t="str" cm="1">
        <f t="array" ref="I77">IFERROR(_xlfn.CONCAT(_xlfn._xlws.FILTER(Cartographie_des_appareils[Champ d''application],Cartographie_des_appareils[Contrôle NIST]=B77)&amp;CHAR(10)),"")</f>
        <v/>
      </c>
      <c r="J77" s="288">
        <f>SUMIF(Cartographie_des_serveurs_de_sauvegarde[Contrôle NIST],B77,Cartographie_des_serveurs_de_sauvegarde[Émissions totales (kgC02e)])</f>
        <v>0</v>
      </c>
      <c r="K77" s="289" t="str" cm="1">
        <f t="array" ref="K77">_xlfn.CONCAT(
IFERROR(_xlfn.CONCAT(_xlfn._xlws.FILTER(Cartographie_non_cyber_serveurs[Champ d''application],Cartographie_non_cyber_serveurs[Contrôle NIST]=B77)&amp;CHAR(10)),""),
IFERROR(_xlfn.CONCAT(_xlfn._xlws.FILTER(Cartographie_des_serveurs_de_sauvegarde[Champ d''application],Cartographie_des_serveurs_de_sauvegarde[Contrôle NIST]=B77)&amp;CHAR(10)),""),
)</f>
        <v/>
      </c>
      <c r="L77" s="288">
        <f>SUMIF(Cartographie_Solutions_Sur_Site[Contrôle NIST],B77,Cartographie_Solutions_Sur_Site[Émissions totales de carbone du NIST (kgCO2e)])
+SUMIF(Cartographie_Solutions_sur_Cloud[Contrôle NIST],B77,Cartographie_Solutions_sur_Cloud[Émissions totales de carbone du NIST (kgCO2e)])</f>
        <v>0</v>
      </c>
      <c r="M77" s="289" t="str" cm="1">
        <f t="array" ref="M77">_xlfn.CONCAT(
IFERROR(_xlfn.CONCAT(_xlfn._xlws.FILTER(Cartographie_Solutions_Sur_Site[Nom de l''application],#REF!=B77)&amp;CHAR(10)),""),
IFERROR(_xlfn.CONCAT(_xlfn._xlws.FILTER(Cartographie_Solutions_sur_Cloud[Nom de l''application],#REF!=B77)&amp;CHAR(10)),"")
)</f>
        <v/>
      </c>
      <c r="N77" s="288">
        <f>SUMIF(Cartographie_des_TM_externes[Contrôle NIST],B77,Cartographie_des_TM_externes[Émissions de carbone du NIST (kgCO2e)])
+SUMIF(Cartographie_des_externes_prix_fixes[Contrôle NIST],B77,Cartographie_des_externes_prix_fixes[Émissions de carbone du NIST (kgCO2e)])</f>
        <v>0</v>
      </c>
      <c r="O77" s="289" t="str" cm="1">
        <f t="array" ref="O77">_xlfn.CONCAT(
IFERROR(_xlfn.CONCAT(_xlfn._xlws.FILTER(Cartographie_des_TM_externes[Nom du service],#REF!=B77)&amp;CHAR(10)),""),
IFERROR(_xlfn.CONCAT(_xlfn._xlws.FILTER(Cartographie_des_externes_prix_fixes[Nom du service],#REF!=B77)&amp;CHAR(10)),""))</f>
        <v/>
      </c>
      <c r="P77" s="288">
        <f>SUMIF(Cartographie_voyage[Contrôle NIST],B77,Cartographie_voyage[Émissions totales (kgC02e)])</f>
        <v>0</v>
      </c>
      <c r="Q77" s="290" t="str" cm="1">
        <f t="array" ref="Q77">IFERROR(_xlfn.CONCAT(_xlfn._xlws.FILTER(Cartographie_voyage[Type de transport],Cartographie_voyage[Contrôle NIST]=B77)&amp;CHAR(10)),"")</f>
        <v/>
      </c>
      <c r="R77" s="288">
        <f>SUMIF(Cartographie_poste_de_travail_non_cyber_ordinateur_portable[Contrôle NIST],B77,Cartographie_poste_de_travail_non_cyber_ordinateur_portable[Émissions totales (kgC02e)])
+SUMIF(Cartographie_poste_de_travail_non_cyber_ordinateur_de_bureau[Contrôle NIST],B77,Cartographie_poste_de_travail_non_cyber_ordinateur_de_bureau[Émissions totales (kgC02e)])
+SUMIF(Cartographie_non_cyber_VDI[Contrôle NIST],B77,Cartographie_non_cyber_VDI[Émissions totales (kgC02e)])
+SUMIF(Cartographie_non_cyber_serveurs[Contrôle NIST],B77,Cartographie_non_cyber_serveurs[Émissions totales (kgC02e)])</f>
        <v>0</v>
      </c>
      <c r="S77" s="289" t="str" cm="1">
        <f t="array" ref="S77">_xlfn.CONCAT(
IFERROR(_xlfn.CONCAT(_xlfn._xlws.FILTER(Cartographie_poste_de_travail_non_cyber_ordinateur_portable[Champ d''application],Cartographie_poste_de_travail_non_cyber_ordinateur_portable[Contrôle NIST]=B77)&amp;CHAR(10)),""),
IFERROR(_xlfn.CONCAT(_xlfn._xlws.FILTER(Cartographie_poste_de_travail_non_cyber_ordinateur_de_bureau[Champ d''application],Cartographie_poste_de_travail_non_cyber_ordinateur_de_bureau[Contrôle NIST]=B77)&amp;CHAR(10)),""),
IFERROR(_xlfn.CONCAT(_xlfn._xlws.FILTER(Cartographie_non_cyber_VDI[Champ d''application],Cartographie_non_cyber_VDI[Contrôle NIST]=B77)&amp;CHAR(10)),""),
IFERROR(_xlfn.CONCAT(_xlfn._xlws.FILTER(Cartographie_non_cyber_serveurs[Champ d''application],Cartographie_non_cyber_serveurs[Contrôle NIST]=B77)&amp;CHAR(10)),"")
)</f>
        <v/>
      </c>
    </row>
    <row r="78" spans="1:19" ht="73.5" customHeight="1" x14ac:dyDescent="0.3">
      <c r="A78" s="284" t="s">
        <v>10</v>
      </c>
      <c r="B78" s="285" t="s">
        <v>71</v>
      </c>
      <c r="C78" s="284" t="s">
        <v>510</v>
      </c>
      <c r="D7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8" s="287">
        <f>Tableau_de_bord_par_contrôle[[#This Row],[Émissions annuelles totales de CO2e(kgCO2e)]]/(1000*Total)</f>
        <v>0</v>
      </c>
      <c r="F78" s="288">
        <f xml:space="preserve">
SUMIF(Cartographie_des_appareils_poste_de_travail_ordinateur_portable[Contrôle NIST],B78,Cartographie_des_appareils_poste_de_travail_ordinateur_portable[Émissions totales (kgC02e)])
+SUMIF(Cartographie_des_appareils_poste_de_travail_ordinateur_de_bureau[Contrôle NIST],B78,Cartographie_des_appareils_poste_de_travail_ordinateur_de_bureau[Émissions totales (kgC02e)])
+SUMIF(Cartographie_des_appareils_écrans[Contrôle NIST],B78,Cartographie_des_appareils_écrans[Émissions totales (kgC02e)])+SUMIF(Cartographie_des_appareils_Smartphones[Contrôle NIST],B78,Cartographie_des_appareils_Smartphones[Émissions totales (kgC02e)])</f>
        <v>0</v>
      </c>
      <c r="G78" s="289" t="str" cm="1">
        <f t="array" ref="G78">_xlfn.CONCAT(
IFERROR(_xlfn.CONCAT(_xlfn._xlws.FILTER(Cartographie_des_appareils_poste_de_travail_ordinateur_portable[Champ d''application],Cartographie_des_appareils_poste_de_travail_ordinateur_portable[Contrôle NIST]=B78)&amp;CHAR(10)),""),
IFERROR(_xlfn.CONCAT(_xlfn._xlws.FILTER(#REF!,#REF!=B78)&amp;CHAR(10)),""),
IFERROR(_xlfn.CONCAT(_xlfn._xlws.FILTER(Cartographie_des_appareils_écrans[Champ d''application],Cartographie_des_appareils_écrans[Contrôle NIST]=B78)&amp;CHAR(10)),""),
IFERROR(_xlfn.CONCAT(_xlfn._xlws.FILTER(Cartographie_des_appareils_Smartphones[Champ d''application],Cartographie_des_appareils_Smartphones[Contrôle NIST]=B78)&amp;CHAR(10)),"")
)</f>
        <v/>
      </c>
      <c r="H78" s="288">
        <f>SUMIF(Cartographie_des_appareils[Contrôle NIST],B78,Cartographie_des_appareils[Émissions totales (kgC02e)])</f>
        <v>0</v>
      </c>
      <c r="I78" s="289" t="str" cm="1">
        <f t="array" ref="I78">IFERROR(_xlfn.CONCAT(_xlfn._xlws.FILTER(Cartographie_des_appareils[Champ d''application],Cartographie_des_appareils[Contrôle NIST]=B78)&amp;CHAR(10)),"")</f>
        <v/>
      </c>
      <c r="J78" s="288">
        <f>SUMIF(Cartographie_des_serveurs_de_sauvegarde[Contrôle NIST],B78,Cartographie_des_serveurs_de_sauvegarde[Émissions totales (kgC02e)])</f>
        <v>0</v>
      </c>
      <c r="K78" s="289" t="str" cm="1">
        <f t="array" ref="K78">_xlfn.CONCAT(
IFERROR(_xlfn.CONCAT(_xlfn._xlws.FILTER(Cartographie_non_cyber_serveurs[Champ d''application],Cartographie_non_cyber_serveurs[Contrôle NIST]=B78)&amp;CHAR(10)),""),
IFERROR(_xlfn.CONCAT(_xlfn._xlws.FILTER(Cartographie_des_serveurs_de_sauvegarde[Champ d''application],Cartographie_des_serveurs_de_sauvegarde[Contrôle NIST]=B78)&amp;CHAR(10)),""),
)</f>
        <v/>
      </c>
      <c r="L78" s="288">
        <f>SUMIF(Cartographie_Solutions_Sur_Site[Contrôle NIST],B78,Cartographie_Solutions_Sur_Site[Émissions totales de carbone du NIST (kgCO2e)])
+SUMIF(Cartographie_Solutions_sur_Cloud[Contrôle NIST],B78,Cartographie_Solutions_sur_Cloud[Émissions totales de carbone du NIST (kgCO2e)])</f>
        <v>0</v>
      </c>
      <c r="M78" s="289" t="str" cm="1">
        <f t="array" ref="M78">_xlfn.CONCAT(
IFERROR(_xlfn.CONCAT(_xlfn._xlws.FILTER(Cartographie_Solutions_Sur_Site[Nom de l''application],#REF!=B78)&amp;CHAR(10)),""),
IFERROR(_xlfn.CONCAT(_xlfn._xlws.FILTER(Cartographie_Solutions_sur_Cloud[Nom de l''application],#REF!=B78)&amp;CHAR(10)),"")
)</f>
        <v/>
      </c>
      <c r="N78" s="288">
        <f>SUMIF(Cartographie_des_TM_externes[Contrôle NIST],B78,Cartographie_des_TM_externes[Émissions de carbone du NIST (kgCO2e)])
+SUMIF(Cartographie_des_externes_prix_fixes[Contrôle NIST],B78,Cartographie_des_externes_prix_fixes[Émissions de carbone du NIST (kgCO2e)])</f>
        <v>0</v>
      </c>
      <c r="O78" s="289" t="str" cm="1">
        <f t="array" ref="O78">_xlfn.CONCAT(
IFERROR(_xlfn.CONCAT(_xlfn._xlws.FILTER(Cartographie_des_TM_externes[Nom du service],#REF!=B78)&amp;CHAR(10)),""),
IFERROR(_xlfn.CONCAT(_xlfn._xlws.FILTER(Cartographie_des_externes_prix_fixes[Nom du service],#REF!=B78)&amp;CHAR(10)),""))</f>
        <v/>
      </c>
      <c r="P78" s="288">
        <f>SUMIF(Cartographie_voyage[Contrôle NIST],B78,Cartographie_voyage[Émissions totales (kgC02e)])</f>
        <v>0</v>
      </c>
      <c r="Q78" s="290" t="str" cm="1">
        <f t="array" ref="Q78">IFERROR(_xlfn.CONCAT(_xlfn._xlws.FILTER(Cartographie_voyage[Type de transport],Cartographie_voyage[Contrôle NIST]=B78)&amp;CHAR(10)),"")</f>
        <v/>
      </c>
      <c r="R78" s="288">
        <f>SUMIF(Cartographie_poste_de_travail_non_cyber_ordinateur_portable[Contrôle NIST],B78,Cartographie_poste_de_travail_non_cyber_ordinateur_portable[Émissions totales (kgC02e)])
+SUMIF(Cartographie_poste_de_travail_non_cyber_ordinateur_de_bureau[Contrôle NIST],B78,Cartographie_poste_de_travail_non_cyber_ordinateur_de_bureau[Émissions totales (kgC02e)])
+SUMIF(Cartographie_non_cyber_VDI[Contrôle NIST],B78,Cartographie_non_cyber_VDI[Émissions totales (kgC02e)])
+SUMIF(Cartographie_non_cyber_serveurs[Contrôle NIST],B78,Cartographie_non_cyber_serveurs[Émissions totales (kgC02e)])</f>
        <v>0</v>
      </c>
      <c r="S78" s="289" t="str" cm="1">
        <f t="array" ref="S78">_xlfn.CONCAT(
IFERROR(_xlfn.CONCAT(_xlfn._xlws.FILTER(Cartographie_poste_de_travail_non_cyber_ordinateur_portable[Champ d''application],Cartographie_poste_de_travail_non_cyber_ordinateur_portable[Contrôle NIST]=B78)&amp;CHAR(10)),""),
IFERROR(_xlfn.CONCAT(_xlfn._xlws.FILTER(Cartographie_poste_de_travail_non_cyber_ordinateur_de_bureau[Champ d''application],Cartographie_poste_de_travail_non_cyber_ordinateur_de_bureau[Contrôle NIST]=B78)&amp;CHAR(10)),""),
IFERROR(_xlfn.CONCAT(_xlfn._xlws.FILTER(Cartographie_non_cyber_VDI[Champ d''application],Cartographie_non_cyber_VDI[Contrôle NIST]=B78)&amp;CHAR(10)),""),
IFERROR(_xlfn.CONCAT(_xlfn._xlws.FILTER(Cartographie_non_cyber_serveurs[Champ d''application],Cartographie_non_cyber_serveurs[Contrôle NIST]=B78)&amp;CHAR(10)),"")
)</f>
        <v/>
      </c>
    </row>
    <row r="79" spans="1:19" ht="73.5" customHeight="1" x14ac:dyDescent="0.3">
      <c r="A79" s="284" t="s">
        <v>10</v>
      </c>
      <c r="B79" s="285" t="s">
        <v>72</v>
      </c>
      <c r="C79" s="284" t="s">
        <v>511</v>
      </c>
      <c r="D7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79" s="287">
        <f>Tableau_de_bord_par_contrôle[[#This Row],[Émissions annuelles totales de CO2e(kgCO2e)]]/(1000*Total)</f>
        <v>0</v>
      </c>
      <c r="F79" s="288">
        <f xml:space="preserve">
SUMIF(Cartographie_des_appareils_poste_de_travail_ordinateur_portable[Contrôle NIST],B79,Cartographie_des_appareils_poste_de_travail_ordinateur_portable[Émissions totales (kgC02e)])
+SUMIF(Cartographie_des_appareils_poste_de_travail_ordinateur_de_bureau[Contrôle NIST],B79,Cartographie_des_appareils_poste_de_travail_ordinateur_de_bureau[Émissions totales (kgC02e)])
+SUMIF(Cartographie_des_appareils_écrans[Contrôle NIST],B79,Cartographie_des_appareils_écrans[Émissions totales (kgC02e)])+SUMIF(Cartographie_des_appareils_Smartphones[Contrôle NIST],B79,Cartographie_des_appareils_Smartphones[Émissions totales (kgC02e)])</f>
        <v>0</v>
      </c>
      <c r="G79" s="289" t="str" cm="1">
        <f t="array" ref="G79">_xlfn.CONCAT(
IFERROR(_xlfn.CONCAT(_xlfn._xlws.FILTER(Cartographie_des_appareils_poste_de_travail_ordinateur_portable[Champ d''application],Cartographie_des_appareils_poste_de_travail_ordinateur_portable[Contrôle NIST]=B79)&amp;CHAR(10)),""),
IFERROR(_xlfn.CONCAT(_xlfn._xlws.FILTER(#REF!,#REF!=B79)&amp;CHAR(10)),""),
IFERROR(_xlfn.CONCAT(_xlfn._xlws.FILTER(Cartographie_des_appareils_écrans[Champ d''application],Cartographie_des_appareils_écrans[Contrôle NIST]=B79)&amp;CHAR(10)),""),
IFERROR(_xlfn.CONCAT(_xlfn._xlws.FILTER(Cartographie_des_appareils_Smartphones[Champ d''application],Cartographie_des_appareils_Smartphones[Contrôle NIST]=B79)&amp;CHAR(10)),"")
)</f>
        <v/>
      </c>
      <c r="H79" s="288">
        <f>SUMIF(Cartographie_des_appareils[Contrôle NIST],B79,Cartographie_des_appareils[Émissions totales (kgC02e)])</f>
        <v>0</v>
      </c>
      <c r="I79" s="289" t="str" cm="1">
        <f t="array" ref="I79">IFERROR(_xlfn.CONCAT(_xlfn._xlws.FILTER(Cartographie_des_appareils[Champ d''application],Cartographie_des_appareils[Contrôle NIST]=B79)&amp;CHAR(10)),"")</f>
        <v/>
      </c>
      <c r="J79" s="288">
        <f>SUMIF(Cartographie_des_serveurs_de_sauvegarde[Contrôle NIST],B79,Cartographie_des_serveurs_de_sauvegarde[Émissions totales (kgC02e)])</f>
        <v>0</v>
      </c>
      <c r="K79" s="289" t="str" cm="1">
        <f t="array" ref="K79">_xlfn.CONCAT(
IFERROR(_xlfn.CONCAT(_xlfn._xlws.FILTER(Cartographie_non_cyber_serveurs[Champ d''application],Cartographie_non_cyber_serveurs[Contrôle NIST]=B79)&amp;CHAR(10)),""),
IFERROR(_xlfn.CONCAT(_xlfn._xlws.FILTER(Cartographie_des_serveurs_de_sauvegarde[Champ d''application],Cartographie_des_serveurs_de_sauvegarde[Contrôle NIST]=B79)&amp;CHAR(10)),""),
)</f>
        <v/>
      </c>
      <c r="L79" s="288">
        <f>SUMIF(Cartographie_Solutions_Sur_Site[Contrôle NIST],B79,Cartographie_Solutions_Sur_Site[Émissions totales de carbone du NIST (kgCO2e)])
+SUMIF(Cartographie_Solutions_sur_Cloud[Contrôle NIST],B79,Cartographie_Solutions_sur_Cloud[Émissions totales de carbone du NIST (kgCO2e)])</f>
        <v>0</v>
      </c>
      <c r="M79" s="289" t="str" cm="1">
        <f t="array" ref="M79">_xlfn.CONCAT(
IFERROR(_xlfn.CONCAT(_xlfn._xlws.FILTER(Cartographie_Solutions_Sur_Site[Nom de l''application],#REF!=B79)&amp;CHAR(10)),""),
IFERROR(_xlfn.CONCAT(_xlfn._xlws.FILTER(Cartographie_Solutions_sur_Cloud[Nom de l''application],#REF!=B79)&amp;CHAR(10)),"")
)</f>
        <v/>
      </c>
      <c r="N79" s="288">
        <f>SUMIF(Cartographie_des_TM_externes[Contrôle NIST],B79,Cartographie_des_TM_externes[Émissions de carbone du NIST (kgCO2e)])
+SUMIF(Cartographie_des_externes_prix_fixes[Contrôle NIST],B79,Cartographie_des_externes_prix_fixes[Émissions de carbone du NIST (kgCO2e)])</f>
        <v>0</v>
      </c>
      <c r="O79" s="289" t="str" cm="1">
        <f t="array" ref="O79">_xlfn.CONCAT(
IFERROR(_xlfn.CONCAT(_xlfn._xlws.FILTER(Cartographie_des_TM_externes[Nom du service],#REF!=B79)&amp;CHAR(10)),""),
IFERROR(_xlfn.CONCAT(_xlfn._xlws.FILTER(Cartographie_des_externes_prix_fixes[Nom du service],#REF!=B79)&amp;CHAR(10)),""))</f>
        <v/>
      </c>
      <c r="P79" s="288">
        <f>SUMIF(Cartographie_voyage[Contrôle NIST],B79,Cartographie_voyage[Émissions totales (kgC02e)])</f>
        <v>0</v>
      </c>
      <c r="Q79" s="290" t="str" cm="1">
        <f t="array" ref="Q79">IFERROR(_xlfn.CONCAT(_xlfn._xlws.FILTER(Cartographie_voyage[Type de transport],Cartographie_voyage[Contrôle NIST]=B79)&amp;CHAR(10)),"")</f>
        <v/>
      </c>
      <c r="R79" s="288">
        <f>SUMIF(Cartographie_poste_de_travail_non_cyber_ordinateur_portable[Contrôle NIST],B79,Cartographie_poste_de_travail_non_cyber_ordinateur_portable[Émissions totales (kgC02e)])
+SUMIF(Cartographie_poste_de_travail_non_cyber_ordinateur_de_bureau[Contrôle NIST],B79,Cartographie_poste_de_travail_non_cyber_ordinateur_de_bureau[Émissions totales (kgC02e)])
+SUMIF(Cartographie_non_cyber_VDI[Contrôle NIST],B79,Cartographie_non_cyber_VDI[Émissions totales (kgC02e)])
+SUMIF(Cartographie_non_cyber_serveurs[Contrôle NIST],B79,Cartographie_non_cyber_serveurs[Émissions totales (kgC02e)])</f>
        <v>0</v>
      </c>
      <c r="S79" s="289" t="str" cm="1">
        <f t="array" ref="S79">_xlfn.CONCAT(
IFERROR(_xlfn.CONCAT(_xlfn._xlws.FILTER(Cartographie_poste_de_travail_non_cyber_ordinateur_portable[Champ d''application],Cartographie_poste_de_travail_non_cyber_ordinateur_portable[Contrôle NIST]=B79)&amp;CHAR(10)),""),
IFERROR(_xlfn.CONCAT(_xlfn._xlws.FILTER(Cartographie_poste_de_travail_non_cyber_ordinateur_de_bureau[Champ d''application],Cartographie_poste_de_travail_non_cyber_ordinateur_de_bureau[Contrôle NIST]=B79)&amp;CHAR(10)),""),
IFERROR(_xlfn.CONCAT(_xlfn._xlws.FILTER(Cartographie_non_cyber_VDI[Champ d''application],Cartographie_non_cyber_VDI[Contrôle NIST]=B79)&amp;CHAR(10)),""),
IFERROR(_xlfn.CONCAT(_xlfn._xlws.FILTER(Cartographie_non_cyber_serveurs[Champ d''application],Cartographie_non_cyber_serveurs[Contrôle NIST]=B79)&amp;CHAR(10)),"")
)</f>
        <v/>
      </c>
    </row>
    <row r="80" spans="1:19" ht="73.5" customHeight="1" x14ac:dyDescent="0.3">
      <c r="A80" s="284" t="s">
        <v>10</v>
      </c>
      <c r="B80" s="285" t="s">
        <v>73</v>
      </c>
      <c r="C80" s="284" t="s">
        <v>512</v>
      </c>
      <c r="D8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0" s="287">
        <f>Tableau_de_bord_par_contrôle[[#This Row],[Émissions annuelles totales de CO2e(kgCO2e)]]/(1000*Total)</f>
        <v>0</v>
      </c>
      <c r="F80" s="288">
        <f xml:space="preserve">
SUMIF(Cartographie_des_appareils_poste_de_travail_ordinateur_portable[Contrôle NIST],B80,Cartographie_des_appareils_poste_de_travail_ordinateur_portable[Émissions totales (kgC02e)])
+SUMIF(Cartographie_des_appareils_poste_de_travail_ordinateur_de_bureau[Contrôle NIST],B80,Cartographie_des_appareils_poste_de_travail_ordinateur_de_bureau[Émissions totales (kgC02e)])
+SUMIF(Cartographie_des_appareils_écrans[Contrôle NIST],B80,Cartographie_des_appareils_écrans[Émissions totales (kgC02e)])+SUMIF(Cartographie_des_appareils_Smartphones[Contrôle NIST],B80,Cartographie_des_appareils_Smartphones[Émissions totales (kgC02e)])</f>
        <v>0</v>
      </c>
      <c r="G80" s="289" t="str" cm="1">
        <f t="array" ref="G80">_xlfn.CONCAT(
IFERROR(_xlfn.CONCAT(_xlfn._xlws.FILTER(Cartographie_des_appareils_poste_de_travail_ordinateur_portable[Champ d''application],Cartographie_des_appareils_poste_de_travail_ordinateur_portable[Contrôle NIST]=B80)&amp;CHAR(10)),""),
IFERROR(_xlfn.CONCAT(_xlfn._xlws.FILTER(#REF!,#REF!=B80)&amp;CHAR(10)),""),
IFERROR(_xlfn.CONCAT(_xlfn._xlws.FILTER(Cartographie_des_appareils_écrans[Champ d''application],Cartographie_des_appareils_écrans[Contrôle NIST]=B80)&amp;CHAR(10)),""),
IFERROR(_xlfn.CONCAT(_xlfn._xlws.FILTER(Cartographie_des_appareils_Smartphones[Champ d''application],Cartographie_des_appareils_Smartphones[Contrôle NIST]=B80)&amp;CHAR(10)),"")
)</f>
        <v/>
      </c>
      <c r="H80" s="288">
        <f>SUMIF(Cartographie_des_appareils[Contrôle NIST],B80,Cartographie_des_appareils[Émissions totales (kgC02e)])</f>
        <v>0</v>
      </c>
      <c r="I80" s="289" t="str" cm="1">
        <f t="array" ref="I80">IFERROR(_xlfn.CONCAT(_xlfn._xlws.FILTER(Cartographie_des_appareils[Champ d''application],Cartographie_des_appareils[Contrôle NIST]=B80)&amp;CHAR(10)),"")</f>
        <v/>
      </c>
      <c r="J80" s="288">
        <f>SUMIF(Cartographie_des_serveurs_de_sauvegarde[Contrôle NIST],B80,Cartographie_des_serveurs_de_sauvegarde[Émissions totales (kgC02e)])</f>
        <v>0</v>
      </c>
      <c r="K80" s="289" t="str" cm="1">
        <f t="array" ref="K80">_xlfn.CONCAT(
IFERROR(_xlfn.CONCAT(_xlfn._xlws.FILTER(Cartographie_non_cyber_serveurs[Champ d''application],Cartographie_non_cyber_serveurs[Contrôle NIST]=B80)&amp;CHAR(10)),""),
IFERROR(_xlfn.CONCAT(_xlfn._xlws.FILTER(Cartographie_des_serveurs_de_sauvegarde[Champ d''application],Cartographie_des_serveurs_de_sauvegarde[Contrôle NIST]=B80)&amp;CHAR(10)),""),
)</f>
        <v/>
      </c>
      <c r="L80" s="288">
        <f>SUMIF(Cartographie_Solutions_Sur_Site[Contrôle NIST],B80,Cartographie_Solutions_Sur_Site[Émissions totales de carbone du NIST (kgCO2e)])
+SUMIF(Cartographie_Solutions_sur_Cloud[Contrôle NIST],B80,Cartographie_Solutions_sur_Cloud[Émissions totales de carbone du NIST (kgCO2e)])</f>
        <v>0</v>
      </c>
      <c r="M80" s="289" t="str" cm="1">
        <f t="array" ref="M80">_xlfn.CONCAT(
IFERROR(_xlfn.CONCAT(_xlfn._xlws.FILTER(Cartographie_Solutions_Sur_Site[Nom de l''application],#REF!=B80)&amp;CHAR(10)),""),
IFERROR(_xlfn.CONCAT(_xlfn._xlws.FILTER(Cartographie_Solutions_sur_Cloud[Nom de l''application],#REF!=B80)&amp;CHAR(10)),"")
)</f>
        <v/>
      </c>
      <c r="N80" s="288">
        <f>SUMIF(Cartographie_des_TM_externes[Contrôle NIST],B80,Cartographie_des_TM_externes[Émissions de carbone du NIST (kgCO2e)])
+SUMIF(Cartographie_des_externes_prix_fixes[Contrôle NIST],B80,Cartographie_des_externes_prix_fixes[Émissions de carbone du NIST (kgCO2e)])</f>
        <v>0</v>
      </c>
      <c r="O80" s="289" t="str" cm="1">
        <f t="array" ref="O80">_xlfn.CONCAT(
IFERROR(_xlfn.CONCAT(_xlfn._xlws.FILTER(Cartographie_des_TM_externes[Nom du service],#REF!=B80)&amp;CHAR(10)),""),
IFERROR(_xlfn.CONCAT(_xlfn._xlws.FILTER(Cartographie_des_externes_prix_fixes[Nom du service],#REF!=B80)&amp;CHAR(10)),""))</f>
        <v/>
      </c>
      <c r="P80" s="288">
        <f>SUMIF(Cartographie_voyage[Contrôle NIST],B80,Cartographie_voyage[Émissions totales (kgC02e)])</f>
        <v>0</v>
      </c>
      <c r="Q80" s="290" t="str" cm="1">
        <f t="array" ref="Q80">IFERROR(_xlfn.CONCAT(_xlfn._xlws.FILTER(Cartographie_voyage[Type de transport],Cartographie_voyage[Contrôle NIST]=B80)&amp;CHAR(10)),"")</f>
        <v/>
      </c>
      <c r="R80" s="288">
        <f>SUMIF(Cartographie_poste_de_travail_non_cyber_ordinateur_portable[Contrôle NIST],B80,Cartographie_poste_de_travail_non_cyber_ordinateur_portable[Émissions totales (kgC02e)])
+SUMIF(Cartographie_poste_de_travail_non_cyber_ordinateur_de_bureau[Contrôle NIST],B80,Cartographie_poste_de_travail_non_cyber_ordinateur_de_bureau[Émissions totales (kgC02e)])
+SUMIF(Cartographie_non_cyber_VDI[Contrôle NIST],B80,Cartographie_non_cyber_VDI[Émissions totales (kgC02e)])
+SUMIF(Cartographie_non_cyber_serveurs[Contrôle NIST],B80,Cartographie_non_cyber_serveurs[Émissions totales (kgC02e)])</f>
        <v>0</v>
      </c>
      <c r="S80" s="289" t="str" cm="1">
        <f t="array" ref="S80">_xlfn.CONCAT(
IFERROR(_xlfn.CONCAT(_xlfn._xlws.FILTER(Cartographie_poste_de_travail_non_cyber_ordinateur_portable[Champ d''application],Cartographie_poste_de_travail_non_cyber_ordinateur_portable[Contrôle NIST]=B80)&amp;CHAR(10)),""),
IFERROR(_xlfn.CONCAT(_xlfn._xlws.FILTER(Cartographie_poste_de_travail_non_cyber_ordinateur_de_bureau[Champ d''application],Cartographie_poste_de_travail_non_cyber_ordinateur_de_bureau[Contrôle NIST]=B80)&amp;CHAR(10)),""),
IFERROR(_xlfn.CONCAT(_xlfn._xlws.FILTER(Cartographie_non_cyber_VDI[Champ d''application],Cartographie_non_cyber_VDI[Contrôle NIST]=B80)&amp;CHAR(10)),""),
IFERROR(_xlfn.CONCAT(_xlfn._xlws.FILTER(Cartographie_non_cyber_serveurs[Champ d''application],Cartographie_non_cyber_serveurs[Contrôle NIST]=B80)&amp;CHAR(10)),"")
)</f>
        <v/>
      </c>
    </row>
    <row r="81" spans="1:19" ht="73.5" customHeight="1" x14ac:dyDescent="0.3">
      <c r="A81" s="284" t="s">
        <v>10</v>
      </c>
      <c r="B81" s="285" t="s">
        <v>74</v>
      </c>
      <c r="C81" s="284" t="s">
        <v>513</v>
      </c>
      <c r="D81"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1" s="287">
        <f>Tableau_de_bord_par_contrôle[[#This Row],[Émissions annuelles totales de CO2e(kgCO2e)]]/(1000*Total)</f>
        <v>0</v>
      </c>
      <c r="F81" s="288">
        <f xml:space="preserve">
SUMIF(Cartographie_des_appareils_poste_de_travail_ordinateur_portable[Contrôle NIST],B81,Cartographie_des_appareils_poste_de_travail_ordinateur_portable[Émissions totales (kgC02e)])
+SUMIF(Cartographie_des_appareils_poste_de_travail_ordinateur_de_bureau[Contrôle NIST],B81,Cartographie_des_appareils_poste_de_travail_ordinateur_de_bureau[Émissions totales (kgC02e)])
+SUMIF(Cartographie_des_appareils_écrans[Contrôle NIST],B81,Cartographie_des_appareils_écrans[Émissions totales (kgC02e)])+SUMIF(Cartographie_des_appareils_Smartphones[Contrôle NIST],B81,Cartographie_des_appareils_Smartphones[Émissions totales (kgC02e)])</f>
        <v>0</v>
      </c>
      <c r="G81" s="289" t="str" cm="1">
        <f t="array" ref="G81">_xlfn.CONCAT(
IFERROR(_xlfn.CONCAT(_xlfn._xlws.FILTER(Cartographie_des_appareils_poste_de_travail_ordinateur_portable[Champ d''application],Cartographie_des_appareils_poste_de_travail_ordinateur_portable[Contrôle NIST]=B81)&amp;CHAR(10)),""),
IFERROR(_xlfn.CONCAT(_xlfn._xlws.FILTER(#REF!,#REF!=B81)&amp;CHAR(10)),""),
IFERROR(_xlfn.CONCAT(_xlfn._xlws.FILTER(Cartographie_des_appareils_écrans[Champ d''application],Cartographie_des_appareils_écrans[Contrôle NIST]=B81)&amp;CHAR(10)),""),
IFERROR(_xlfn.CONCAT(_xlfn._xlws.FILTER(Cartographie_des_appareils_Smartphones[Champ d''application],Cartographie_des_appareils_Smartphones[Contrôle NIST]=B81)&amp;CHAR(10)),"")
)</f>
        <v/>
      </c>
      <c r="H81" s="288">
        <f>SUMIF(Cartographie_des_appareils[Contrôle NIST],B81,Cartographie_des_appareils[Émissions totales (kgC02e)])</f>
        <v>0</v>
      </c>
      <c r="I81" s="289" t="str" cm="1">
        <f t="array" ref="I81">IFERROR(_xlfn.CONCAT(_xlfn._xlws.FILTER(Cartographie_des_appareils[Champ d''application],Cartographie_des_appareils[Contrôle NIST]=B81)&amp;CHAR(10)),"")</f>
        <v/>
      </c>
      <c r="J81" s="288">
        <f>SUMIF(Cartographie_des_serveurs_de_sauvegarde[Contrôle NIST],B81,Cartographie_des_serveurs_de_sauvegarde[Émissions totales (kgC02e)])</f>
        <v>0</v>
      </c>
      <c r="K81" s="289" t="str" cm="1">
        <f t="array" ref="K81">_xlfn.CONCAT(
IFERROR(_xlfn.CONCAT(_xlfn._xlws.FILTER(Cartographie_non_cyber_serveurs[Champ d''application],Cartographie_non_cyber_serveurs[Contrôle NIST]=B81)&amp;CHAR(10)),""),
IFERROR(_xlfn.CONCAT(_xlfn._xlws.FILTER(Cartographie_des_serveurs_de_sauvegarde[Champ d''application],Cartographie_des_serveurs_de_sauvegarde[Contrôle NIST]=B81)&amp;CHAR(10)),""),
)</f>
        <v/>
      </c>
      <c r="L81" s="288">
        <f>SUMIF(Cartographie_Solutions_Sur_Site[Contrôle NIST],B81,Cartographie_Solutions_Sur_Site[Émissions totales de carbone du NIST (kgCO2e)])
+SUMIF(Cartographie_Solutions_sur_Cloud[Contrôle NIST],B81,Cartographie_Solutions_sur_Cloud[Émissions totales de carbone du NIST (kgCO2e)])</f>
        <v>0</v>
      </c>
      <c r="M81" s="289" t="str" cm="1">
        <f t="array" ref="M81">_xlfn.CONCAT(
IFERROR(_xlfn.CONCAT(_xlfn._xlws.FILTER(Cartographie_Solutions_Sur_Site[Nom de l''application],#REF!=B81)&amp;CHAR(10)),""),
IFERROR(_xlfn.CONCAT(_xlfn._xlws.FILTER(Cartographie_Solutions_sur_Cloud[Nom de l''application],#REF!=B81)&amp;CHAR(10)),"")
)</f>
        <v/>
      </c>
      <c r="N81" s="288">
        <f>SUMIF(Cartographie_des_TM_externes[Contrôle NIST],B81,Cartographie_des_TM_externes[Émissions de carbone du NIST (kgCO2e)])
+SUMIF(Cartographie_des_externes_prix_fixes[Contrôle NIST],B81,Cartographie_des_externes_prix_fixes[Émissions de carbone du NIST (kgCO2e)])</f>
        <v>0</v>
      </c>
      <c r="O81" s="289" t="str" cm="1">
        <f t="array" ref="O81">_xlfn.CONCAT(
IFERROR(_xlfn.CONCAT(_xlfn._xlws.FILTER(Cartographie_des_TM_externes[Nom du service],#REF!=B81)&amp;CHAR(10)),""),
IFERROR(_xlfn.CONCAT(_xlfn._xlws.FILTER(Cartographie_des_externes_prix_fixes[Nom du service],#REF!=B81)&amp;CHAR(10)),""))</f>
        <v/>
      </c>
      <c r="P81" s="288">
        <f>SUMIF(Cartographie_voyage[Contrôle NIST],B81,Cartographie_voyage[Émissions totales (kgC02e)])</f>
        <v>0</v>
      </c>
      <c r="Q81" s="290" t="str" cm="1">
        <f t="array" ref="Q81">IFERROR(_xlfn.CONCAT(_xlfn._xlws.FILTER(Cartographie_voyage[Type de transport],Cartographie_voyage[Contrôle NIST]=B81)&amp;CHAR(10)),"")</f>
        <v/>
      </c>
      <c r="R81" s="288">
        <f>SUMIF(Cartographie_poste_de_travail_non_cyber_ordinateur_portable[Contrôle NIST],B81,Cartographie_poste_de_travail_non_cyber_ordinateur_portable[Émissions totales (kgC02e)])
+SUMIF(Cartographie_poste_de_travail_non_cyber_ordinateur_de_bureau[Contrôle NIST],B81,Cartographie_poste_de_travail_non_cyber_ordinateur_de_bureau[Émissions totales (kgC02e)])
+SUMIF(Cartographie_non_cyber_VDI[Contrôle NIST],B81,Cartographie_non_cyber_VDI[Émissions totales (kgC02e)])
+SUMIF(Cartographie_non_cyber_serveurs[Contrôle NIST],B81,Cartographie_non_cyber_serveurs[Émissions totales (kgC02e)])</f>
        <v>0</v>
      </c>
      <c r="S81" s="289" t="str" cm="1">
        <f t="array" ref="S81">_xlfn.CONCAT(
IFERROR(_xlfn.CONCAT(_xlfn._xlws.FILTER(Cartographie_poste_de_travail_non_cyber_ordinateur_portable[Champ d''application],Cartographie_poste_de_travail_non_cyber_ordinateur_portable[Contrôle NIST]=B81)&amp;CHAR(10)),""),
IFERROR(_xlfn.CONCAT(_xlfn._xlws.FILTER(Cartographie_poste_de_travail_non_cyber_ordinateur_de_bureau[Champ d''application],Cartographie_poste_de_travail_non_cyber_ordinateur_de_bureau[Contrôle NIST]=B81)&amp;CHAR(10)),""),
IFERROR(_xlfn.CONCAT(_xlfn._xlws.FILTER(Cartographie_non_cyber_VDI[Champ d''application],Cartographie_non_cyber_VDI[Contrôle NIST]=B81)&amp;CHAR(10)),""),
IFERROR(_xlfn.CONCAT(_xlfn._xlws.FILTER(Cartographie_non_cyber_serveurs[Champ d''application],Cartographie_non_cyber_serveurs[Contrôle NIST]=B81)&amp;CHAR(10)),"")
)</f>
        <v/>
      </c>
    </row>
    <row r="82" spans="1:19" ht="73.5" customHeight="1" x14ac:dyDescent="0.3">
      <c r="A82" s="284" t="s">
        <v>10</v>
      </c>
      <c r="B82" s="285" t="s">
        <v>75</v>
      </c>
      <c r="C82" s="284" t="s">
        <v>289</v>
      </c>
      <c r="D82"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2" s="287">
        <f>Tableau_de_bord_par_contrôle[[#This Row],[Émissions annuelles totales de CO2e(kgCO2e)]]/(1000*Total)</f>
        <v>0</v>
      </c>
      <c r="F82" s="288">
        <f xml:space="preserve">
SUMIF(Cartographie_des_appareils_poste_de_travail_ordinateur_portable[Contrôle NIST],B82,Cartographie_des_appareils_poste_de_travail_ordinateur_portable[Émissions totales (kgC02e)])
+SUMIF(Cartographie_des_appareils_poste_de_travail_ordinateur_de_bureau[Contrôle NIST],B82,Cartographie_des_appareils_poste_de_travail_ordinateur_de_bureau[Émissions totales (kgC02e)])
+SUMIF(Cartographie_des_appareils_écrans[Contrôle NIST],B82,Cartographie_des_appareils_écrans[Émissions totales (kgC02e)])+SUMIF(Cartographie_des_appareils_Smartphones[Contrôle NIST],B82,Cartographie_des_appareils_Smartphones[Émissions totales (kgC02e)])</f>
        <v>0</v>
      </c>
      <c r="G82" s="289" t="str" cm="1">
        <f t="array" ref="G82">_xlfn.CONCAT(
IFERROR(_xlfn.CONCAT(_xlfn._xlws.FILTER(Cartographie_des_appareils_poste_de_travail_ordinateur_portable[Champ d''application],Cartographie_des_appareils_poste_de_travail_ordinateur_portable[Contrôle NIST]=B82)&amp;CHAR(10)),""),
IFERROR(_xlfn.CONCAT(_xlfn._xlws.FILTER(#REF!,#REF!=B82)&amp;CHAR(10)),""),
IFERROR(_xlfn.CONCAT(_xlfn._xlws.FILTER(Cartographie_des_appareils_écrans[Champ d''application],Cartographie_des_appareils_écrans[Contrôle NIST]=B82)&amp;CHAR(10)),""),
IFERROR(_xlfn.CONCAT(_xlfn._xlws.FILTER(Cartographie_des_appareils_Smartphones[Champ d''application],Cartographie_des_appareils_Smartphones[Contrôle NIST]=B82)&amp;CHAR(10)),"")
)</f>
        <v/>
      </c>
      <c r="H82" s="288">
        <f>SUMIF(Cartographie_des_appareils[Contrôle NIST],B82,Cartographie_des_appareils[Émissions totales (kgC02e)])</f>
        <v>0</v>
      </c>
      <c r="I82" s="289" t="str" cm="1">
        <f t="array" ref="I82">IFERROR(_xlfn.CONCAT(_xlfn._xlws.FILTER(Cartographie_des_appareils[Champ d''application],Cartographie_des_appareils[Contrôle NIST]=B82)&amp;CHAR(10)),"")</f>
        <v/>
      </c>
      <c r="J82" s="288">
        <f>SUMIF(Cartographie_des_serveurs_de_sauvegarde[Contrôle NIST],B82,Cartographie_des_serveurs_de_sauvegarde[Émissions totales (kgC02e)])</f>
        <v>0</v>
      </c>
      <c r="K82" s="289" t="str" cm="1">
        <f t="array" ref="K82">_xlfn.CONCAT(
IFERROR(_xlfn.CONCAT(_xlfn._xlws.FILTER(Cartographie_non_cyber_serveurs[Champ d''application],Cartographie_non_cyber_serveurs[Contrôle NIST]=B82)&amp;CHAR(10)),""),
IFERROR(_xlfn.CONCAT(_xlfn._xlws.FILTER(Cartographie_des_serveurs_de_sauvegarde[Champ d''application],Cartographie_des_serveurs_de_sauvegarde[Contrôle NIST]=B82)&amp;CHAR(10)),""),
)</f>
        <v/>
      </c>
      <c r="L82" s="288">
        <f>SUMIF(Cartographie_Solutions_Sur_Site[Contrôle NIST],B82,Cartographie_Solutions_Sur_Site[Émissions totales de carbone du NIST (kgCO2e)])
+SUMIF(Cartographie_Solutions_sur_Cloud[Contrôle NIST],B82,Cartographie_Solutions_sur_Cloud[Émissions totales de carbone du NIST (kgCO2e)])</f>
        <v>0</v>
      </c>
      <c r="M82" s="289" t="str" cm="1">
        <f t="array" ref="M82">_xlfn.CONCAT(
IFERROR(_xlfn.CONCAT(_xlfn._xlws.FILTER(Cartographie_Solutions_Sur_Site[Nom de l''application],#REF!=B82)&amp;CHAR(10)),""),
IFERROR(_xlfn.CONCAT(_xlfn._xlws.FILTER(Cartographie_Solutions_sur_Cloud[Nom de l''application],#REF!=B82)&amp;CHAR(10)),"")
)</f>
        <v/>
      </c>
      <c r="N82" s="288">
        <f>SUMIF(Cartographie_des_TM_externes[Contrôle NIST],B82,Cartographie_des_TM_externes[Émissions de carbone du NIST (kgCO2e)])
+SUMIF(Cartographie_des_externes_prix_fixes[Contrôle NIST],B82,Cartographie_des_externes_prix_fixes[Émissions de carbone du NIST (kgCO2e)])</f>
        <v>0</v>
      </c>
      <c r="O82" s="289" t="str" cm="1">
        <f t="array" ref="O82">_xlfn.CONCAT(
IFERROR(_xlfn.CONCAT(_xlfn._xlws.FILTER(Cartographie_des_TM_externes[Nom du service],#REF!=B82)&amp;CHAR(10)),""),
IFERROR(_xlfn.CONCAT(_xlfn._xlws.FILTER(Cartographie_des_externes_prix_fixes[Nom du service],#REF!=B82)&amp;CHAR(10)),""))</f>
        <v/>
      </c>
      <c r="P82" s="288">
        <f>SUMIF(Cartographie_voyage[Contrôle NIST],B82,Cartographie_voyage[Émissions totales (kgC02e)])</f>
        <v>0</v>
      </c>
      <c r="Q82" s="290" t="str" cm="1">
        <f t="array" ref="Q82">IFERROR(_xlfn.CONCAT(_xlfn._xlws.FILTER(Cartographie_voyage[Type de transport],Cartographie_voyage[Contrôle NIST]=B82)&amp;CHAR(10)),"")</f>
        <v/>
      </c>
      <c r="R82" s="288">
        <f>SUMIF(Cartographie_poste_de_travail_non_cyber_ordinateur_portable[Contrôle NIST],B82,Cartographie_poste_de_travail_non_cyber_ordinateur_portable[Émissions totales (kgC02e)])
+SUMIF(Cartographie_poste_de_travail_non_cyber_ordinateur_de_bureau[Contrôle NIST],B82,Cartographie_poste_de_travail_non_cyber_ordinateur_de_bureau[Émissions totales (kgC02e)])
+SUMIF(Cartographie_non_cyber_VDI[Contrôle NIST],B82,Cartographie_non_cyber_VDI[Émissions totales (kgC02e)])
+SUMIF(Cartographie_non_cyber_serveurs[Contrôle NIST],B82,Cartographie_non_cyber_serveurs[Émissions totales (kgC02e)])</f>
        <v>0</v>
      </c>
      <c r="S82" s="289" t="str" cm="1">
        <f t="array" ref="S82">_xlfn.CONCAT(
IFERROR(_xlfn.CONCAT(_xlfn._xlws.FILTER(Cartographie_poste_de_travail_non_cyber_ordinateur_portable[Champ d''application],Cartographie_poste_de_travail_non_cyber_ordinateur_portable[Contrôle NIST]=B82)&amp;CHAR(10)),""),
IFERROR(_xlfn.CONCAT(_xlfn._xlws.FILTER(Cartographie_poste_de_travail_non_cyber_ordinateur_de_bureau[Champ d''application],Cartographie_poste_de_travail_non_cyber_ordinateur_de_bureau[Contrôle NIST]=B82)&amp;CHAR(10)),""),
IFERROR(_xlfn.CONCAT(_xlfn._xlws.FILTER(Cartographie_non_cyber_VDI[Champ d''application],Cartographie_non_cyber_VDI[Contrôle NIST]=B82)&amp;CHAR(10)),""),
IFERROR(_xlfn.CONCAT(_xlfn._xlws.FILTER(Cartographie_non_cyber_serveurs[Champ d''application],Cartographie_non_cyber_serveurs[Contrôle NIST]=B82)&amp;CHAR(10)),"")
)</f>
        <v/>
      </c>
    </row>
    <row r="83" spans="1:19" ht="73.5" customHeight="1" x14ac:dyDescent="0.3">
      <c r="A83" s="284" t="s">
        <v>10</v>
      </c>
      <c r="B83" s="285" t="s">
        <v>76</v>
      </c>
      <c r="C83" s="284" t="s">
        <v>290</v>
      </c>
      <c r="D83"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3" s="287">
        <f>Tableau_de_bord_par_contrôle[[#This Row],[Émissions annuelles totales de CO2e(kgCO2e)]]/(1000*Total)</f>
        <v>0</v>
      </c>
      <c r="F83" s="288">
        <f xml:space="preserve">
SUMIF(Cartographie_des_appareils_poste_de_travail_ordinateur_portable[Contrôle NIST],B83,Cartographie_des_appareils_poste_de_travail_ordinateur_portable[Émissions totales (kgC02e)])
+SUMIF(Cartographie_des_appareils_poste_de_travail_ordinateur_de_bureau[Contrôle NIST],B83,Cartographie_des_appareils_poste_de_travail_ordinateur_de_bureau[Émissions totales (kgC02e)])
+SUMIF(Cartographie_des_appareils_écrans[Contrôle NIST],B83,Cartographie_des_appareils_écrans[Émissions totales (kgC02e)])+SUMIF(Cartographie_des_appareils_Smartphones[Contrôle NIST],B83,Cartographie_des_appareils_Smartphones[Émissions totales (kgC02e)])</f>
        <v>0</v>
      </c>
      <c r="G83" s="289" t="str" cm="1">
        <f t="array" ref="G83">_xlfn.CONCAT(
IFERROR(_xlfn.CONCAT(_xlfn._xlws.FILTER(Cartographie_des_appareils_poste_de_travail_ordinateur_portable[Champ d''application],Cartographie_des_appareils_poste_de_travail_ordinateur_portable[Contrôle NIST]=B83)&amp;CHAR(10)),""),
IFERROR(_xlfn.CONCAT(_xlfn._xlws.FILTER(#REF!,#REF!=B83)&amp;CHAR(10)),""),
IFERROR(_xlfn.CONCAT(_xlfn._xlws.FILTER(Cartographie_des_appareils_écrans[Champ d''application],Cartographie_des_appareils_écrans[Contrôle NIST]=B83)&amp;CHAR(10)),""),
IFERROR(_xlfn.CONCAT(_xlfn._xlws.FILTER(Cartographie_des_appareils_Smartphones[Champ d''application],Cartographie_des_appareils_Smartphones[Contrôle NIST]=B83)&amp;CHAR(10)),"")
)</f>
        <v/>
      </c>
      <c r="H83" s="288">
        <f>SUMIF(Cartographie_des_appareils[Contrôle NIST],B83,Cartographie_des_appareils[Émissions totales (kgC02e)])</f>
        <v>0</v>
      </c>
      <c r="I83" s="289" t="str" cm="1">
        <f t="array" ref="I83">IFERROR(_xlfn.CONCAT(_xlfn._xlws.FILTER(Cartographie_des_appareils[Champ d''application],Cartographie_des_appareils[Contrôle NIST]=B83)&amp;CHAR(10)),"")</f>
        <v/>
      </c>
      <c r="J83" s="288">
        <f>SUMIF(Cartographie_des_serveurs_de_sauvegarde[Contrôle NIST],B83,Cartographie_des_serveurs_de_sauvegarde[Émissions totales (kgC02e)])</f>
        <v>0</v>
      </c>
      <c r="K83" s="289" t="str" cm="1">
        <f t="array" ref="K83">_xlfn.CONCAT(
IFERROR(_xlfn.CONCAT(_xlfn._xlws.FILTER(Cartographie_non_cyber_serveurs[Champ d''application],Cartographie_non_cyber_serveurs[Contrôle NIST]=B83)&amp;CHAR(10)),""),
IFERROR(_xlfn.CONCAT(_xlfn._xlws.FILTER(Cartographie_des_serveurs_de_sauvegarde[Champ d''application],Cartographie_des_serveurs_de_sauvegarde[Contrôle NIST]=B83)&amp;CHAR(10)),""),
)</f>
        <v/>
      </c>
      <c r="L83" s="288">
        <f>SUMIF(Cartographie_Solutions_Sur_Site[Contrôle NIST],B83,Cartographie_Solutions_Sur_Site[Émissions totales de carbone du NIST (kgCO2e)])
+SUMIF(Cartographie_Solutions_sur_Cloud[Contrôle NIST],B83,Cartographie_Solutions_sur_Cloud[Émissions totales de carbone du NIST (kgCO2e)])</f>
        <v>0</v>
      </c>
      <c r="M83" s="289" t="str" cm="1">
        <f t="array" ref="M83">_xlfn.CONCAT(
IFERROR(_xlfn.CONCAT(_xlfn._xlws.FILTER(Cartographie_Solutions_Sur_Site[Nom de l''application],#REF!=B83)&amp;CHAR(10)),""),
IFERROR(_xlfn.CONCAT(_xlfn._xlws.FILTER(Cartographie_Solutions_sur_Cloud[Nom de l''application],#REF!=B83)&amp;CHAR(10)),"")
)</f>
        <v/>
      </c>
      <c r="N83" s="288">
        <f>SUMIF(Cartographie_des_TM_externes[Contrôle NIST],B83,Cartographie_des_TM_externes[Émissions de carbone du NIST (kgCO2e)])
+SUMIF(Cartographie_des_externes_prix_fixes[Contrôle NIST],B83,Cartographie_des_externes_prix_fixes[Émissions de carbone du NIST (kgCO2e)])</f>
        <v>0</v>
      </c>
      <c r="O83" s="289" t="str" cm="1">
        <f t="array" ref="O83">_xlfn.CONCAT(
IFERROR(_xlfn.CONCAT(_xlfn._xlws.FILTER(Cartographie_des_TM_externes[Nom du service],#REF!=B83)&amp;CHAR(10)),""),
IFERROR(_xlfn.CONCAT(_xlfn._xlws.FILTER(Cartographie_des_externes_prix_fixes[Nom du service],#REF!=B83)&amp;CHAR(10)),""))</f>
        <v/>
      </c>
      <c r="P83" s="288">
        <f>SUMIF(Cartographie_voyage[Contrôle NIST],B83,Cartographie_voyage[Émissions totales (kgC02e)])</f>
        <v>0</v>
      </c>
      <c r="Q83" s="290" t="str" cm="1">
        <f t="array" ref="Q83">IFERROR(_xlfn.CONCAT(_xlfn._xlws.FILTER(Cartographie_voyage[Type de transport],Cartographie_voyage[Contrôle NIST]=B83)&amp;CHAR(10)),"")</f>
        <v/>
      </c>
      <c r="R83" s="288">
        <f>SUMIF(Cartographie_poste_de_travail_non_cyber_ordinateur_portable[Contrôle NIST],B83,Cartographie_poste_de_travail_non_cyber_ordinateur_portable[Émissions totales (kgC02e)])
+SUMIF(Cartographie_poste_de_travail_non_cyber_ordinateur_de_bureau[Contrôle NIST],B83,Cartographie_poste_de_travail_non_cyber_ordinateur_de_bureau[Émissions totales (kgC02e)])
+SUMIF(Cartographie_non_cyber_VDI[Contrôle NIST],B83,Cartographie_non_cyber_VDI[Émissions totales (kgC02e)])
+SUMIF(Cartographie_non_cyber_serveurs[Contrôle NIST],B83,Cartographie_non_cyber_serveurs[Émissions totales (kgC02e)])</f>
        <v>0</v>
      </c>
      <c r="S83" s="289" t="str" cm="1">
        <f t="array" ref="S83">_xlfn.CONCAT(
IFERROR(_xlfn.CONCAT(_xlfn._xlws.FILTER(Cartographie_poste_de_travail_non_cyber_ordinateur_portable[Champ d''application],Cartographie_poste_de_travail_non_cyber_ordinateur_portable[Contrôle NIST]=B83)&amp;CHAR(10)),""),
IFERROR(_xlfn.CONCAT(_xlfn._xlws.FILTER(Cartographie_poste_de_travail_non_cyber_ordinateur_de_bureau[Champ d''application],Cartographie_poste_de_travail_non_cyber_ordinateur_de_bureau[Contrôle NIST]=B83)&amp;CHAR(10)),""),
IFERROR(_xlfn.CONCAT(_xlfn._xlws.FILTER(Cartographie_non_cyber_VDI[Champ d''application],Cartographie_non_cyber_VDI[Contrôle NIST]=B83)&amp;CHAR(10)),""),
IFERROR(_xlfn.CONCAT(_xlfn._xlws.FILTER(Cartographie_non_cyber_serveurs[Champ d''application],Cartographie_non_cyber_serveurs[Contrôle NIST]=B83)&amp;CHAR(10)),"")
)</f>
        <v/>
      </c>
    </row>
    <row r="84" spans="1:19" ht="73.5" customHeight="1" x14ac:dyDescent="0.3">
      <c r="A84" s="284" t="s">
        <v>10</v>
      </c>
      <c r="B84" s="285" t="s">
        <v>77</v>
      </c>
      <c r="C84" s="284" t="s">
        <v>291</v>
      </c>
      <c r="D84"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4" s="287">
        <f>Tableau_de_bord_par_contrôle[[#This Row],[Émissions annuelles totales de CO2e(kgCO2e)]]/(1000*Total)</f>
        <v>0</v>
      </c>
      <c r="F84" s="288">
        <f xml:space="preserve">
SUMIF(Cartographie_des_appareils_poste_de_travail_ordinateur_portable[Contrôle NIST],B84,Cartographie_des_appareils_poste_de_travail_ordinateur_portable[Émissions totales (kgC02e)])
+SUMIF(Cartographie_des_appareils_poste_de_travail_ordinateur_de_bureau[Contrôle NIST],B84,Cartographie_des_appareils_poste_de_travail_ordinateur_de_bureau[Émissions totales (kgC02e)])
+SUMIF(Cartographie_des_appareils_écrans[Contrôle NIST],B84,Cartographie_des_appareils_écrans[Émissions totales (kgC02e)])+SUMIF(Cartographie_des_appareils_Smartphones[Contrôle NIST],B84,Cartographie_des_appareils_Smartphones[Émissions totales (kgC02e)])</f>
        <v>0</v>
      </c>
      <c r="G84" s="289" t="str" cm="1">
        <f t="array" ref="G84">_xlfn.CONCAT(
IFERROR(_xlfn.CONCAT(_xlfn._xlws.FILTER(Cartographie_des_appareils_poste_de_travail_ordinateur_portable[Champ d''application],Cartographie_des_appareils_poste_de_travail_ordinateur_portable[Contrôle NIST]=B84)&amp;CHAR(10)),""),
IFERROR(_xlfn.CONCAT(_xlfn._xlws.FILTER(#REF!,#REF!=B84)&amp;CHAR(10)),""),
IFERROR(_xlfn.CONCAT(_xlfn._xlws.FILTER(Cartographie_des_appareils_écrans[Champ d''application],Cartographie_des_appareils_écrans[Contrôle NIST]=B84)&amp;CHAR(10)),""),
IFERROR(_xlfn.CONCAT(_xlfn._xlws.FILTER(Cartographie_des_appareils_Smartphones[Champ d''application],Cartographie_des_appareils_Smartphones[Contrôle NIST]=B84)&amp;CHAR(10)),"")
)</f>
        <v/>
      </c>
      <c r="H84" s="288">
        <f>SUMIF(Cartographie_des_appareils[Contrôle NIST],B84,Cartographie_des_appareils[Émissions totales (kgC02e)])</f>
        <v>0</v>
      </c>
      <c r="I84" s="289" t="str" cm="1">
        <f t="array" ref="I84">IFERROR(_xlfn.CONCAT(_xlfn._xlws.FILTER(Cartographie_des_appareils[Champ d''application],Cartographie_des_appareils[Contrôle NIST]=B84)&amp;CHAR(10)),"")</f>
        <v/>
      </c>
      <c r="J84" s="288">
        <f>SUMIF(Cartographie_des_serveurs_de_sauvegarde[Contrôle NIST],B84,Cartographie_des_serveurs_de_sauvegarde[Émissions totales (kgC02e)])</f>
        <v>0</v>
      </c>
      <c r="K84" s="289" t="str" cm="1">
        <f t="array" ref="K84">_xlfn.CONCAT(
IFERROR(_xlfn.CONCAT(_xlfn._xlws.FILTER(Cartographie_non_cyber_serveurs[Champ d''application],Cartographie_non_cyber_serveurs[Contrôle NIST]=B84)&amp;CHAR(10)),""),
IFERROR(_xlfn.CONCAT(_xlfn._xlws.FILTER(Cartographie_des_serveurs_de_sauvegarde[Champ d''application],Cartographie_des_serveurs_de_sauvegarde[Contrôle NIST]=B84)&amp;CHAR(10)),""),
)</f>
        <v/>
      </c>
      <c r="L84" s="288">
        <f>SUMIF(Cartographie_Solutions_Sur_Site[Contrôle NIST],B84,Cartographie_Solutions_Sur_Site[Émissions totales de carbone du NIST (kgCO2e)])
+SUMIF(Cartographie_Solutions_sur_Cloud[Contrôle NIST],B84,Cartographie_Solutions_sur_Cloud[Émissions totales de carbone du NIST (kgCO2e)])</f>
        <v>0</v>
      </c>
      <c r="M84" s="289" t="str" cm="1">
        <f t="array" ref="M84">_xlfn.CONCAT(
IFERROR(_xlfn.CONCAT(_xlfn._xlws.FILTER(Cartographie_Solutions_Sur_Site[Nom de l''application],#REF!=B84)&amp;CHAR(10)),""),
IFERROR(_xlfn.CONCAT(_xlfn._xlws.FILTER(Cartographie_Solutions_sur_Cloud[Nom de l''application],#REF!=B84)&amp;CHAR(10)),"")
)</f>
        <v/>
      </c>
      <c r="N84" s="288">
        <f>SUMIF(Cartographie_des_TM_externes[Contrôle NIST],B84,Cartographie_des_TM_externes[Émissions de carbone du NIST (kgCO2e)])
+SUMIF(Cartographie_des_externes_prix_fixes[Contrôle NIST],B84,Cartographie_des_externes_prix_fixes[Émissions de carbone du NIST (kgCO2e)])</f>
        <v>0</v>
      </c>
      <c r="O84" s="289" t="str" cm="1">
        <f t="array" ref="O84">_xlfn.CONCAT(
IFERROR(_xlfn.CONCAT(_xlfn._xlws.FILTER(Cartographie_des_TM_externes[Nom du service],#REF!=B84)&amp;CHAR(10)),""),
IFERROR(_xlfn.CONCAT(_xlfn._xlws.FILTER(Cartographie_des_externes_prix_fixes[Nom du service],#REF!=B84)&amp;CHAR(10)),""))</f>
        <v/>
      </c>
      <c r="P84" s="288">
        <f>SUMIF(Cartographie_voyage[Contrôle NIST],B84,Cartographie_voyage[Émissions totales (kgC02e)])</f>
        <v>0</v>
      </c>
      <c r="Q84" s="290" t="str" cm="1">
        <f t="array" ref="Q84">IFERROR(_xlfn.CONCAT(_xlfn._xlws.FILTER(Cartographie_voyage[Type de transport],Cartographie_voyage[Contrôle NIST]=B84)&amp;CHAR(10)),"")</f>
        <v/>
      </c>
      <c r="R84" s="288">
        <f>SUMIF(Cartographie_poste_de_travail_non_cyber_ordinateur_portable[Contrôle NIST],B84,Cartographie_poste_de_travail_non_cyber_ordinateur_portable[Émissions totales (kgC02e)])
+SUMIF(Cartographie_poste_de_travail_non_cyber_ordinateur_de_bureau[Contrôle NIST],B84,Cartographie_poste_de_travail_non_cyber_ordinateur_de_bureau[Émissions totales (kgC02e)])
+SUMIF(Cartographie_non_cyber_VDI[Contrôle NIST],B84,Cartographie_non_cyber_VDI[Émissions totales (kgC02e)])
+SUMIF(Cartographie_non_cyber_serveurs[Contrôle NIST],B84,Cartographie_non_cyber_serveurs[Émissions totales (kgC02e)])</f>
        <v>0</v>
      </c>
      <c r="S84" s="289" t="str" cm="1">
        <f t="array" ref="S84">_xlfn.CONCAT(
IFERROR(_xlfn.CONCAT(_xlfn._xlws.FILTER(Cartographie_poste_de_travail_non_cyber_ordinateur_portable[Champ d''application],Cartographie_poste_de_travail_non_cyber_ordinateur_portable[Contrôle NIST]=B84)&amp;CHAR(10)),""),
IFERROR(_xlfn.CONCAT(_xlfn._xlws.FILTER(Cartographie_poste_de_travail_non_cyber_ordinateur_de_bureau[Champ d''application],Cartographie_poste_de_travail_non_cyber_ordinateur_de_bureau[Contrôle NIST]=B84)&amp;CHAR(10)),""),
IFERROR(_xlfn.CONCAT(_xlfn._xlws.FILTER(Cartographie_non_cyber_VDI[Champ d''application],Cartographie_non_cyber_VDI[Contrôle NIST]=B84)&amp;CHAR(10)),""),
IFERROR(_xlfn.CONCAT(_xlfn._xlws.FILTER(Cartographie_non_cyber_serveurs[Champ d''application],Cartographie_non_cyber_serveurs[Contrôle NIST]=B84)&amp;CHAR(10)),"")
)</f>
        <v/>
      </c>
    </row>
    <row r="85" spans="1:19" ht="73.5" customHeight="1" x14ac:dyDescent="0.3">
      <c r="A85" s="284" t="s">
        <v>11</v>
      </c>
      <c r="B85" s="285" t="s">
        <v>78</v>
      </c>
      <c r="C85" s="284" t="s">
        <v>514</v>
      </c>
      <c r="D85"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19378.098055695555</v>
      </c>
      <c r="E85" s="287">
        <f>Tableau_de_bord_par_contrôle[[#This Row],[Émissions annuelles totales de CO2e(kgCO2e)]]/(1000*Total)</f>
        <v>3.4480094832754758E-3</v>
      </c>
      <c r="F85" s="288">
        <f xml:space="preserve">
SUMIF(Cartographie_des_appareils_poste_de_travail_ordinateur_portable[Contrôle NIST],B85,Cartographie_des_appareils_poste_de_travail_ordinateur_portable[Émissions totales (kgC02e)])
+SUMIF(Cartographie_des_appareils_poste_de_travail_ordinateur_de_bureau[Contrôle NIST],B85,Cartographie_des_appareils_poste_de_travail_ordinateur_de_bureau[Émissions totales (kgC02e)])
+SUMIF(Cartographie_des_appareils_écrans[Contrôle NIST],B85,Cartographie_des_appareils_écrans[Émissions totales (kgC02e)])+SUMIF(Cartographie_des_appareils_Smartphones[Contrôle NIST],B85,Cartographie_des_appareils_Smartphones[Émissions totales (kgC02e)])</f>
        <v>241.07360950000003</v>
      </c>
      <c r="G85" s="289" t="str" cm="1">
        <f t="array" ref="G85">_xlfn.CONCAT(
IFERROR(_xlfn.CONCAT(_xlfn._xlws.FILTER(Cartographie_des_appareils_poste_de_travail_ordinateur_portable[Champ d''application],Cartographie_des_appareils_poste_de_travail_ordinateur_portable[Contrôle NIST]=B85)&amp;CHAR(10)),""),
IFERROR(_xlfn.CONCAT(_xlfn._xlws.FILTER(#REF!,#REF!=B85)&amp;CHAR(10)),""),
IFERROR(_xlfn.CONCAT(_xlfn._xlws.FILTER(Cartographie_des_appareils_écrans[Champ d''application],Cartographie_des_appareils_écrans[Contrôle NIST]=B85)&amp;CHAR(10)),""),
IFERROR(_xlfn.CONCAT(_xlfn._xlws.FILTER(Cartographie_des_appareils_Smartphones[Champ d''application],Cartographie_des_appareils_Smartphones[Contrôle NIST]=B85)&amp;CHAR(10)),"")
)</f>
        <v xml:space="preserve">Postes de travail utilisés à des fins de sauvegarde
</v>
      </c>
      <c r="H85" s="288">
        <f>SUMIF(Cartographie_des_appareils[Contrôle NIST],B85,Cartographie_des_appareils[Émissions totales (kgC02e)])</f>
        <v>0</v>
      </c>
      <c r="I85" s="289" t="str" cm="1">
        <f t="array" ref="I85">IFERROR(_xlfn.CONCAT(_xlfn._xlws.FILTER(Cartographie_des_appareils[Champ d''application],Cartographie_des_appareils[Contrôle NIST]=B85)&amp;CHAR(10)),"")</f>
        <v/>
      </c>
      <c r="J85" s="288">
        <f>SUMIF(Cartographie_des_serveurs_de_sauvegarde[Contrôle NIST],B85,Cartographie_des_serveurs_de_sauvegarde[Émissions totales (kgC02e)])</f>
        <v>19137.024446195555</v>
      </c>
      <c r="K85" s="289" t="str" cm="1">
        <f t="array" ref="K85">_xlfn.CONCAT(
IFERROR(_xlfn.CONCAT(_xlfn._xlws.FILTER(Cartographie_non_cyber_serveurs[Champ d''application],Cartographie_non_cyber_serveurs[Contrôle NIST]=B85)&amp;CHAR(10)),""),
IFERROR(_xlfn.CONCAT(_xlfn._xlws.FILTER(Cartographie_des_serveurs_de_sauvegarde[Champ d''application],Cartographie_des_serveurs_de_sauvegarde[Contrôle NIST]=B85)&amp;CHAR(10)),""),
)</f>
        <v xml:space="preserve">Serveurs de sauvegarde
Serveurs redondants
</v>
      </c>
      <c r="L85" s="288">
        <f>SUMIF(Cartographie_Solutions_Sur_Site[Contrôle NIST],B85,Cartographie_Solutions_Sur_Site[Émissions totales de carbone du NIST (kgCO2e)])
+SUMIF(Cartographie_Solutions_sur_Cloud[Contrôle NIST],B85,Cartographie_Solutions_sur_Cloud[Émissions totales de carbone du NIST (kgCO2e)])</f>
        <v>0</v>
      </c>
      <c r="M85" s="289" t="str" cm="1">
        <f t="array" ref="M85">_xlfn.CONCAT(
IFERROR(_xlfn.CONCAT(_xlfn._xlws.FILTER(Cartographie_Solutions_Sur_Site[Nom de l''application],#REF!=B85)&amp;CHAR(10)),""),
IFERROR(_xlfn.CONCAT(_xlfn._xlws.FILTER(Cartographie_Solutions_sur_Cloud[Nom de l''application],#REF!=B85)&amp;CHAR(10)),"")
)</f>
        <v/>
      </c>
      <c r="N85" s="288">
        <f>SUMIF(Cartographie_des_TM_externes[Contrôle NIST],B85,Cartographie_des_TM_externes[Émissions de carbone du NIST (kgCO2e)])
+SUMIF(Cartographie_des_externes_prix_fixes[Contrôle NIST],B85,Cartographie_des_externes_prix_fixes[Émissions de carbone du NIST (kgCO2e)])</f>
        <v>0</v>
      </c>
      <c r="O85" s="289" t="str" cm="1">
        <f t="array" ref="O85">_xlfn.CONCAT(
IFERROR(_xlfn.CONCAT(_xlfn._xlws.FILTER(Cartographie_des_TM_externes[Nom du service],#REF!=B85)&amp;CHAR(10)),""),
IFERROR(_xlfn.CONCAT(_xlfn._xlws.FILTER(Cartographie_des_externes_prix_fixes[Nom du service],#REF!=B85)&amp;CHAR(10)),""))</f>
        <v/>
      </c>
      <c r="P85" s="288">
        <f>SUMIF(Cartographie_voyage[Contrôle NIST],B85,Cartographie_voyage[Émissions totales (kgC02e)])</f>
        <v>0</v>
      </c>
      <c r="Q85" s="290" t="str" cm="1">
        <f t="array" ref="Q85">IFERROR(_xlfn.CONCAT(_xlfn._xlws.FILTER(Cartographie_voyage[Type de transport],Cartographie_voyage[Contrôle NIST]=B85)&amp;CHAR(10)),"")</f>
        <v/>
      </c>
      <c r="R85" s="288">
        <f>SUMIF(Cartographie_poste_de_travail_non_cyber_ordinateur_portable[Contrôle NIST],B85,Cartographie_poste_de_travail_non_cyber_ordinateur_portable[Émissions totales (kgC02e)])
+SUMIF(Cartographie_poste_de_travail_non_cyber_ordinateur_de_bureau[Contrôle NIST],B85,Cartographie_poste_de_travail_non_cyber_ordinateur_de_bureau[Émissions totales (kgC02e)])
+SUMIF(Cartographie_non_cyber_VDI[Contrôle NIST],B85,Cartographie_non_cyber_VDI[Émissions totales (kgC02e)])
+SUMIF(Cartographie_non_cyber_serveurs[Contrôle NIST],B85,Cartographie_non_cyber_serveurs[Émissions totales (kgC02e)])</f>
        <v>0</v>
      </c>
      <c r="S85" s="289" t="str" cm="1">
        <f t="array" ref="S85">_xlfn.CONCAT(
IFERROR(_xlfn.CONCAT(_xlfn._xlws.FILTER(Cartographie_poste_de_travail_non_cyber_ordinateur_portable[Champ d''application],Cartographie_poste_de_travail_non_cyber_ordinateur_portable[Contrôle NIST]=B85)&amp;CHAR(10)),""),
IFERROR(_xlfn.CONCAT(_xlfn._xlws.FILTER(Cartographie_poste_de_travail_non_cyber_ordinateur_de_bureau[Champ d''application],Cartographie_poste_de_travail_non_cyber_ordinateur_de_bureau[Contrôle NIST]=B85)&amp;CHAR(10)),""),
IFERROR(_xlfn.CONCAT(_xlfn._xlws.FILTER(Cartographie_non_cyber_VDI[Champ d''application],Cartographie_non_cyber_VDI[Contrôle NIST]=B85)&amp;CHAR(10)),""),
IFERROR(_xlfn.CONCAT(_xlfn._xlws.FILTER(Cartographie_non_cyber_serveurs[Champ d''application],Cartographie_non_cyber_serveurs[Contrôle NIST]=B85)&amp;CHAR(10)),"")
)</f>
        <v/>
      </c>
    </row>
    <row r="86" spans="1:19" ht="73.5" customHeight="1" x14ac:dyDescent="0.3">
      <c r="A86" s="284" t="s">
        <v>12</v>
      </c>
      <c r="B86" s="285" t="s">
        <v>79</v>
      </c>
      <c r="C86" s="284" t="s">
        <v>293</v>
      </c>
      <c r="D86"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6" s="287">
        <f>Tableau_de_bord_par_contrôle[[#This Row],[Émissions annuelles totales de CO2e(kgCO2e)]]/(1000*Total)</f>
        <v>0</v>
      </c>
      <c r="F86" s="288">
        <f xml:space="preserve">
SUMIF(Cartographie_des_appareils_poste_de_travail_ordinateur_portable[Contrôle NIST],B86,Cartographie_des_appareils_poste_de_travail_ordinateur_portable[Émissions totales (kgC02e)])
+SUMIF(Cartographie_des_appareils_poste_de_travail_ordinateur_de_bureau[Contrôle NIST],B86,Cartographie_des_appareils_poste_de_travail_ordinateur_de_bureau[Émissions totales (kgC02e)])
+SUMIF(Cartographie_des_appareils_écrans[Contrôle NIST],B86,Cartographie_des_appareils_écrans[Émissions totales (kgC02e)])+SUMIF(Cartographie_des_appareils_Smartphones[Contrôle NIST],B86,Cartographie_des_appareils_Smartphones[Émissions totales (kgC02e)])</f>
        <v>0</v>
      </c>
      <c r="G86" s="289" t="str" cm="1">
        <f t="array" ref="G86">_xlfn.CONCAT(
IFERROR(_xlfn.CONCAT(_xlfn._xlws.FILTER(Cartographie_des_appareils_poste_de_travail_ordinateur_portable[Champ d''application],Cartographie_des_appareils_poste_de_travail_ordinateur_portable[Contrôle NIST]=B86)&amp;CHAR(10)),""),
IFERROR(_xlfn.CONCAT(_xlfn._xlws.FILTER(#REF!,#REF!=B86)&amp;CHAR(10)),""),
IFERROR(_xlfn.CONCAT(_xlfn._xlws.FILTER(Cartographie_des_appareils_écrans[Champ d''application],Cartographie_des_appareils_écrans[Contrôle NIST]=B86)&amp;CHAR(10)),""),
IFERROR(_xlfn.CONCAT(_xlfn._xlws.FILTER(Cartographie_des_appareils_Smartphones[Champ d''application],Cartographie_des_appareils_Smartphones[Contrôle NIST]=B86)&amp;CHAR(10)),"")
)</f>
        <v/>
      </c>
      <c r="H86" s="288">
        <f>SUMIF(Cartographie_des_appareils[Contrôle NIST],B86,Cartographie_des_appareils[Émissions totales (kgC02e)])</f>
        <v>0</v>
      </c>
      <c r="I86" s="289" t="str" cm="1">
        <f t="array" ref="I86">IFERROR(_xlfn.CONCAT(_xlfn._xlws.FILTER(Cartographie_des_appareils[Champ d''application],Cartographie_des_appareils[Contrôle NIST]=B86)&amp;CHAR(10)),"")</f>
        <v/>
      </c>
      <c r="J86" s="288">
        <f>SUMIF(Cartographie_des_serveurs_de_sauvegarde[Contrôle NIST],B86,Cartographie_des_serveurs_de_sauvegarde[Émissions totales (kgC02e)])</f>
        <v>0</v>
      </c>
      <c r="K86" s="289" t="str" cm="1">
        <f t="array" ref="K86">_xlfn.CONCAT(
IFERROR(_xlfn.CONCAT(_xlfn._xlws.FILTER(Cartographie_non_cyber_serveurs[Champ d''application],Cartographie_non_cyber_serveurs[Contrôle NIST]=B86)&amp;CHAR(10)),""),
IFERROR(_xlfn.CONCAT(_xlfn._xlws.FILTER(Cartographie_des_serveurs_de_sauvegarde[Champ d''application],Cartographie_des_serveurs_de_sauvegarde[Contrôle NIST]=B86)&amp;CHAR(10)),""),
)</f>
        <v/>
      </c>
      <c r="L86" s="288">
        <f>SUMIF(Cartographie_Solutions_Sur_Site[Contrôle NIST],B86,Cartographie_Solutions_Sur_Site[Émissions totales de carbone du NIST (kgCO2e)])
+SUMIF(Cartographie_Solutions_sur_Cloud[Contrôle NIST],B86,Cartographie_Solutions_sur_Cloud[Émissions totales de carbone du NIST (kgCO2e)])</f>
        <v>0</v>
      </c>
      <c r="M86" s="289" t="str" cm="1">
        <f t="array" ref="M86">_xlfn.CONCAT(
IFERROR(_xlfn.CONCAT(_xlfn._xlws.FILTER(Cartographie_Solutions_Sur_Site[Nom de l''application],#REF!=B86)&amp;CHAR(10)),""),
IFERROR(_xlfn.CONCAT(_xlfn._xlws.FILTER(Cartographie_Solutions_sur_Cloud[Nom de l''application],#REF!=B86)&amp;CHAR(10)),"")
)</f>
        <v/>
      </c>
      <c r="N86" s="288">
        <f>SUMIF(Cartographie_des_TM_externes[Contrôle NIST],B86,Cartographie_des_TM_externes[Émissions de carbone du NIST (kgCO2e)])
+SUMIF(Cartographie_des_externes_prix_fixes[Contrôle NIST],B86,Cartographie_des_externes_prix_fixes[Émissions de carbone du NIST (kgCO2e)])</f>
        <v>0</v>
      </c>
      <c r="O86" s="289" t="str" cm="1">
        <f t="array" ref="O86">_xlfn.CONCAT(
IFERROR(_xlfn.CONCAT(_xlfn._xlws.FILTER(Cartographie_des_TM_externes[Nom du service],#REF!=B86)&amp;CHAR(10)),""),
IFERROR(_xlfn.CONCAT(_xlfn._xlws.FILTER(Cartographie_des_externes_prix_fixes[Nom du service],#REF!=B86)&amp;CHAR(10)),""))</f>
        <v/>
      </c>
      <c r="P86" s="288">
        <f>SUMIF(Cartographie_voyage[Contrôle NIST],B86,Cartographie_voyage[Émissions totales (kgC02e)])</f>
        <v>0</v>
      </c>
      <c r="Q86" s="290" t="str" cm="1">
        <f t="array" ref="Q86">IFERROR(_xlfn.CONCAT(_xlfn._xlws.FILTER(Cartographie_voyage[Type de transport],Cartographie_voyage[Contrôle NIST]=B86)&amp;CHAR(10)),"")</f>
        <v/>
      </c>
      <c r="R86" s="288">
        <f>SUMIF(Cartographie_poste_de_travail_non_cyber_ordinateur_portable[Contrôle NIST],B86,Cartographie_poste_de_travail_non_cyber_ordinateur_portable[Émissions totales (kgC02e)])
+SUMIF(Cartographie_poste_de_travail_non_cyber_ordinateur_de_bureau[Contrôle NIST],B86,Cartographie_poste_de_travail_non_cyber_ordinateur_de_bureau[Émissions totales (kgC02e)])
+SUMIF(Cartographie_non_cyber_VDI[Contrôle NIST],B86,Cartographie_non_cyber_VDI[Émissions totales (kgC02e)])
+SUMIF(Cartographie_non_cyber_serveurs[Contrôle NIST],B86,Cartographie_non_cyber_serveurs[Émissions totales (kgC02e)])</f>
        <v>0</v>
      </c>
      <c r="S86" s="289" t="str" cm="1">
        <f t="array" ref="S86">_xlfn.CONCAT(
IFERROR(_xlfn.CONCAT(_xlfn._xlws.FILTER(Cartographie_poste_de_travail_non_cyber_ordinateur_portable[Champ d''application],Cartographie_poste_de_travail_non_cyber_ordinateur_portable[Contrôle NIST]=B86)&amp;CHAR(10)),""),
IFERROR(_xlfn.CONCAT(_xlfn._xlws.FILTER(Cartographie_poste_de_travail_non_cyber_ordinateur_de_bureau[Champ d''application],Cartographie_poste_de_travail_non_cyber_ordinateur_de_bureau[Contrôle NIST]=B86)&amp;CHAR(10)),""),
IFERROR(_xlfn.CONCAT(_xlfn._xlws.FILTER(Cartographie_non_cyber_VDI[Champ d''application],Cartographie_non_cyber_VDI[Contrôle NIST]=B86)&amp;CHAR(10)),""),
IFERROR(_xlfn.CONCAT(_xlfn._xlws.FILTER(Cartographie_non_cyber_serveurs[Champ d''application],Cartographie_non_cyber_serveurs[Contrôle NIST]=B86)&amp;CHAR(10)),"")
)</f>
        <v/>
      </c>
    </row>
    <row r="87" spans="1:19" ht="73.5" customHeight="1" x14ac:dyDescent="0.3">
      <c r="A87" s="284" t="s">
        <v>12</v>
      </c>
      <c r="B87" s="285" t="s">
        <v>80</v>
      </c>
      <c r="C87" s="284" t="s">
        <v>515</v>
      </c>
      <c r="D87"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319.7088317412028</v>
      </c>
      <c r="E87" s="287">
        <f>Tableau_de_bord_par_contrôle[[#This Row],[Émissions annuelles totales de CO2e(kgCO2e)]]/(1000*Total)</f>
        <v>5.6886856520296553E-5</v>
      </c>
      <c r="F87" s="288">
        <f xml:space="preserve">
SUMIF(Cartographie_des_appareils_poste_de_travail_ordinateur_portable[Contrôle NIST],B87,Cartographie_des_appareils_poste_de_travail_ordinateur_portable[Émissions totales (kgC02e)])
+SUMIF(Cartographie_des_appareils_poste_de_travail_ordinateur_de_bureau[Contrôle NIST],B87,Cartographie_des_appareils_poste_de_travail_ordinateur_de_bureau[Émissions totales (kgC02e)])
+SUMIF(Cartographie_des_appareils_écrans[Contrôle NIST],B87,Cartographie_des_appareils_écrans[Émissions totales (kgC02e)])+SUMIF(Cartographie_des_appareils_Smartphones[Contrôle NIST],B87,Cartographie_des_appareils_Smartphones[Émissions totales (kgC02e)])</f>
        <v>0</v>
      </c>
      <c r="G87" s="289" t="str" cm="1">
        <f t="array" ref="G87">_xlfn.CONCAT(
IFERROR(_xlfn.CONCAT(_xlfn._xlws.FILTER(Cartographie_des_appareils_poste_de_travail_ordinateur_portable[Champ d''application],Cartographie_des_appareils_poste_de_travail_ordinateur_portable[Contrôle NIST]=B87)&amp;CHAR(10)),""),
IFERROR(_xlfn.CONCAT(_xlfn._xlws.FILTER(#REF!,#REF!=B87)&amp;CHAR(10)),""),
IFERROR(_xlfn.CONCAT(_xlfn._xlws.FILTER(Cartographie_des_appareils_écrans[Champ d''application],Cartographie_des_appareils_écrans[Contrôle NIST]=B87)&amp;CHAR(10)),""),
IFERROR(_xlfn.CONCAT(_xlfn._xlws.FILTER(Cartographie_des_appareils_Smartphones[Champ d''application],Cartographie_des_appareils_Smartphones[Contrôle NIST]=B87)&amp;CHAR(10)),"")
)</f>
        <v/>
      </c>
      <c r="H87" s="288">
        <f>SUMIF(Cartographie_des_appareils[Contrôle NIST],B87,Cartographie_des_appareils[Émissions totales (kgC02e)])</f>
        <v>0</v>
      </c>
      <c r="I87" s="289" t="str" cm="1">
        <f t="array" ref="I87">IFERROR(_xlfn.CONCAT(_xlfn._xlws.FILTER(Cartographie_des_appareils[Champ d''application],Cartographie_des_appareils[Contrôle NIST]=B87)&amp;CHAR(10)),"")</f>
        <v/>
      </c>
      <c r="J87" s="288">
        <f>SUMIF(Cartographie_des_serveurs_de_sauvegarde[Contrôle NIST],B87,Cartographie_des_serveurs_de_sauvegarde[Émissions totales (kgC02e)])</f>
        <v>0</v>
      </c>
      <c r="K87" s="289" t="str" cm="1">
        <f t="array" ref="K87">_xlfn.CONCAT(
IFERROR(_xlfn.CONCAT(_xlfn._xlws.FILTER(Cartographie_non_cyber_serveurs[Champ d''application],Cartographie_non_cyber_serveurs[Contrôle NIST]=B87)&amp;CHAR(10)),""),
IFERROR(_xlfn.CONCAT(_xlfn._xlws.FILTER(Cartographie_des_serveurs_de_sauvegarde[Champ d''application],Cartographie_des_serveurs_de_sauvegarde[Contrôle NIST]=B87)&amp;CHAR(10)),""),
)</f>
        <v/>
      </c>
      <c r="L87" s="288">
        <f>SUMIF(Cartographie_Solutions_Sur_Site[Contrôle NIST],B87,Cartographie_Solutions_Sur_Site[Émissions totales de carbone du NIST (kgCO2e)])
+SUMIF(Cartographie_Solutions_sur_Cloud[Contrôle NIST],B87,Cartographie_Solutions_sur_Cloud[Émissions totales de carbone du NIST (kgCO2e)])</f>
        <v>0</v>
      </c>
      <c r="M87" s="289" t="str" cm="1">
        <f t="array" ref="M87">_xlfn.CONCAT(
IFERROR(_xlfn.CONCAT(_xlfn._xlws.FILTER(Cartographie_Solutions_Sur_Site[Nom de l''application],#REF!=B87)&amp;CHAR(10)),""),
IFERROR(_xlfn.CONCAT(_xlfn._xlws.FILTER(Cartographie_Solutions_sur_Cloud[Nom de l''application],#REF!=B87)&amp;CHAR(10)),"")
)</f>
        <v/>
      </c>
      <c r="N87" s="288">
        <f>SUMIF(Cartographie_des_TM_externes[Contrôle NIST],B87,Cartographie_des_TM_externes[Émissions de carbone du NIST (kgCO2e)])
+SUMIF(Cartographie_des_externes_prix_fixes[Contrôle NIST],B87,Cartographie_des_externes_prix_fixes[Émissions de carbone du NIST (kgCO2e)])</f>
        <v>319.7088317412028</v>
      </c>
      <c r="O87" s="289" t="str" cm="1">
        <f t="array" ref="O87">_xlfn.CONCAT(
IFERROR(_xlfn.CONCAT(_xlfn._xlws.FILTER(Cartographie_des_TM_externes[Nom du service],#REF!=B87)&amp;CHAR(10)),""),
IFERROR(_xlfn.CONCAT(_xlfn._xlws.FILTER(Cartographie_des_externes_prix_fixes[Nom du service],#REF!=B87)&amp;CHAR(10)),""))</f>
        <v/>
      </c>
      <c r="P87" s="288">
        <f>SUMIF(Cartographie_voyage[Contrôle NIST],B87,Cartographie_voyage[Émissions totales (kgC02e)])</f>
        <v>0</v>
      </c>
      <c r="Q87" s="290" t="str" cm="1">
        <f t="array" ref="Q87">IFERROR(_xlfn.CONCAT(_xlfn._xlws.FILTER(Cartographie_voyage[Type de transport],Cartographie_voyage[Contrôle NIST]=B87)&amp;CHAR(10)),"")</f>
        <v/>
      </c>
      <c r="R87" s="288">
        <f>SUMIF(Cartographie_poste_de_travail_non_cyber_ordinateur_portable[Contrôle NIST],B87,Cartographie_poste_de_travail_non_cyber_ordinateur_portable[Émissions totales (kgC02e)])
+SUMIF(Cartographie_poste_de_travail_non_cyber_ordinateur_de_bureau[Contrôle NIST],B87,Cartographie_poste_de_travail_non_cyber_ordinateur_de_bureau[Émissions totales (kgC02e)])
+SUMIF(Cartographie_non_cyber_VDI[Contrôle NIST],B87,Cartographie_non_cyber_VDI[Émissions totales (kgC02e)])
+SUMIF(Cartographie_non_cyber_serveurs[Contrôle NIST],B87,Cartographie_non_cyber_serveurs[Émissions totales (kgC02e)])</f>
        <v>0</v>
      </c>
      <c r="S87" s="289" t="str" cm="1">
        <f t="array" ref="S87">_xlfn.CONCAT(
IFERROR(_xlfn.CONCAT(_xlfn._xlws.FILTER(Cartographie_poste_de_travail_non_cyber_ordinateur_portable[Champ d''application],Cartographie_poste_de_travail_non_cyber_ordinateur_portable[Contrôle NIST]=B87)&amp;CHAR(10)),""),
IFERROR(_xlfn.CONCAT(_xlfn._xlws.FILTER(Cartographie_poste_de_travail_non_cyber_ordinateur_de_bureau[Champ d''application],Cartographie_poste_de_travail_non_cyber_ordinateur_de_bureau[Contrôle NIST]=B87)&amp;CHAR(10)),""),
IFERROR(_xlfn.CONCAT(_xlfn._xlws.FILTER(Cartographie_non_cyber_VDI[Champ d''application],Cartographie_non_cyber_VDI[Contrôle NIST]=B87)&amp;CHAR(10)),""),
IFERROR(_xlfn.CONCAT(_xlfn._xlws.FILTER(Cartographie_non_cyber_serveurs[Champ d''application],Cartographie_non_cyber_serveurs[Contrôle NIST]=B87)&amp;CHAR(10)),"")
)</f>
        <v/>
      </c>
    </row>
    <row r="88" spans="1:19" ht="73.5" customHeight="1" x14ac:dyDescent="0.3">
      <c r="A88" s="284" t="s">
        <v>12</v>
      </c>
      <c r="B88" s="285" t="s">
        <v>81</v>
      </c>
      <c r="C88" s="284" t="s">
        <v>295</v>
      </c>
      <c r="D88"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8" s="287">
        <f>Tableau_de_bord_par_contrôle[[#This Row],[Émissions annuelles totales de CO2e(kgCO2e)]]/(1000*Total)</f>
        <v>0</v>
      </c>
      <c r="F88" s="288">
        <f xml:space="preserve">
SUMIF(Cartographie_des_appareils_poste_de_travail_ordinateur_portable[Contrôle NIST],B88,Cartographie_des_appareils_poste_de_travail_ordinateur_portable[Émissions totales (kgC02e)])
+SUMIF(Cartographie_des_appareils_poste_de_travail_ordinateur_de_bureau[Contrôle NIST],B88,Cartographie_des_appareils_poste_de_travail_ordinateur_de_bureau[Émissions totales (kgC02e)])
+SUMIF(Cartographie_des_appareils_écrans[Contrôle NIST],B88,Cartographie_des_appareils_écrans[Émissions totales (kgC02e)])+SUMIF(Cartographie_des_appareils_Smartphones[Contrôle NIST],B88,Cartographie_des_appareils_Smartphones[Émissions totales (kgC02e)])</f>
        <v>0</v>
      </c>
      <c r="G88" s="289" t="str" cm="1">
        <f t="array" ref="G88">_xlfn.CONCAT(
IFERROR(_xlfn.CONCAT(_xlfn._xlws.FILTER(Cartographie_des_appareils_poste_de_travail_ordinateur_portable[Champ d''application],Cartographie_des_appareils_poste_de_travail_ordinateur_portable[Contrôle NIST]=B88)&amp;CHAR(10)),""),
IFERROR(_xlfn.CONCAT(_xlfn._xlws.FILTER(#REF!,#REF!=B88)&amp;CHAR(10)),""),
IFERROR(_xlfn.CONCAT(_xlfn._xlws.FILTER(Cartographie_des_appareils_écrans[Champ d''application],Cartographie_des_appareils_écrans[Contrôle NIST]=B88)&amp;CHAR(10)),""),
IFERROR(_xlfn.CONCAT(_xlfn._xlws.FILTER(Cartographie_des_appareils_Smartphones[Champ d''application],Cartographie_des_appareils_Smartphones[Contrôle NIST]=B88)&amp;CHAR(10)),"")
)</f>
        <v/>
      </c>
      <c r="H88" s="288">
        <f>SUMIF(Cartographie_des_appareils[Contrôle NIST],B88,Cartographie_des_appareils[Émissions totales (kgC02e)])</f>
        <v>0</v>
      </c>
      <c r="I88" s="289" t="str" cm="1">
        <f t="array" ref="I88">IFERROR(_xlfn.CONCAT(_xlfn._xlws.FILTER(Cartographie_des_appareils[Champ d''application],Cartographie_des_appareils[Contrôle NIST]=B88)&amp;CHAR(10)),"")</f>
        <v/>
      </c>
      <c r="J88" s="288">
        <f>SUMIF(Cartographie_des_serveurs_de_sauvegarde[Contrôle NIST],B88,Cartographie_des_serveurs_de_sauvegarde[Émissions totales (kgC02e)])</f>
        <v>0</v>
      </c>
      <c r="K88" s="289" t="str" cm="1">
        <f t="array" ref="K88">_xlfn.CONCAT(
IFERROR(_xlfn.CONCAT(_xlfn._xlws.FILTER(Cartographie_non_cyber_serveurs[Champ d''application],Cartographie_non_cyber_serveurs[Contrôle NIST]=B88)&amp;CHAR(10)),""),
IFERROR(_xlfn.CONCAT(_xlfn._xlws.FILTER(Cartographie_des_serveurs_de_sauvegarde[Champ d''application],Cartographie_des_serveurs_de_sauvegarde[Contrôle NIST]=B88)&amp;CHAR(10)),""),
)</f>
        <v/>
      </c>
      <c r="L88" s="288">
        <f>SUMIF(Cartographie_Solutions_Sur_Site[Contrôle NIST],B88,Cartographie_Solutions_Sur_Site[Émissions totales de carbone du NIST (kgCO2e)])
+SUMIF(Cartographie_Solutions_sur_Cloud[Contrôle NIST],B88,Cartographie_Solutions_sur_Cloud[Émissions totales de carbone du NIST (kgCO2e)])</f>
        <v>0</v>
      </c>
      <c r="M88" s="289" t="str" cm="1">
        <f t="array" ref="M88">_xlfn.CONCAT(
IFERROR(_xlfn.CONCAT(_xlfn._xlws.FILTER(Cartographie_Solutions_Sur_Site[Nom de l''application],#REF!=B88)&amp;CHAR(10)),""),
IFERROR(_xlfn.CONCAT(_xlfn._xlws.FILTER(Cartographie_Solutions_sur_Cloud[Nom de l''application],#REF!=B88)&amp;CHAR(10)),"")
)</f>
        <v/>
      </c>
      <c r="N88" s="288">
        <f>SUMIF(Cartographie_des_TM_externes[Contrôle NIST],B88,Cartographie_des_TM_externes[Émissions de carbone du NIST (kgCO2e)])
+SUMIF(Cartographie_des_externes_prix_fixes[Contrôle NIST],B88,Cartographie_des_externes_prix_fixes[Émissions de carbone du NIST (kgCO2e)])</f>
        <v>0</v>
      </c>
      <c r="O88" s="289" t="str" cm="1">
        <f t="array" ref="O88">_xlfn.CONCAT(
IFERROR(_xlfn.CONCAT(_xlfn._xlws.FILTER(Cartographie_des_TM_externes[Nom du service],#REF!=B88)&amp;CHAR(10)),""),
IFERROR(_xlfn.CONCAT(_xlfn._xlws.FILTER(Cartographie_des_externes_prix_fixes[Nom du service],#REF!=B88)&amp;CHAR(10)),""))</f>
        <v/>
      </c>
      <c r="P88" s="288">
        <f>SUMIF(Cartographie_voyage[Contrôle NIST],B88,Cartographie_voyage[Émissions totales (kgC02e)])</f>
        <v>0</v>
      </c>
      <c r="Q88" s="290" t="str" cm="1">
        <f t="array" ref="Q88">IFERROR(_xlfn.CONCAT(_xlfn._xlws.FILTER(Cartographie_voyage[Type de transport],Cartographie_voyage[Contrôle NIST]=B88)&amp;CHAR(10)),"")</f>
        <v/>
      </c>
      <c r="R88" s="288">
        <f>SUMIF(Cartographie_poste_de_travail_non_cyber_ordinateur_portable[Contrôle NIST],B88,Cartographie_poste_de_travail_non_cyber_ordinateur_portable[Émissions totales (kgC02e)])
+SUMIF(Cartographie_poste_de_travail_non_cyber_ordinateur_de_bureau[Contrôle NIST],B88,Cartographie_poste_de_travail_non_cyber_ordinateur_de_bureau[Émissions totales (kgC02e)])
+SUMIF(Cartographie_non_cyber_VDI[Contrôle NIST],B88,Cartographie_non_cyber_VDI[Émissions totales (kgC02e)])
+SUMIF(Cartographie_non_cyber_serveurs[Contrôle NIST],B88,Cartographie_non_cyber_serveurs[Émissions totales (kgC02e)])</f>
        <v>0</v>
      </c>
      <c r="S88" s="289" t="str" cm="1">
        <f t="array" ref="S88">_xlfn.CONCAT(
IFERROR(_xlfn.CONCAT(_xlfn._xlws.FILTER(Cartographie_poste_de_travail_non_cyber_ordinateur_portable[Champ d''application],Cartographie_poste_de_travail_non_cyber_ordinateur_portable[Contrôle NIST]=B88)&amp;CHAR(10)),""),
IFERROR(_xlfn.CONCAT(_xlfn._xlws.FILTER(Cartographie_poste_de_travail_non_cyber_ordinateur_de_bureau[Champ d''application],Cartographie_poste_de_travail_non_cyber_ordinateur_de_bureau[Contrôle NIST]=B88)&amp;CHAR(10)),""),
IFERROR(_xlfn.CONCAT(_xlfn._xlws.FILTER(Cartographie_non_cyber_VDI[Champ d''application],Cartographie_non_cyber_VDI[Contrôle NIST]=B88)&amp;CHAR(10)),""),
IFERROR(_xlfn.CONCAT(_xlfn._xlws.FILTER(Cartographie_non_cyber_serveurs[Champ d''application],Cartographie_non_cyber_serveurs[Contrôle NIST]=B88)&amp;CHAR(10)),"")
)</f>
        <v/>
      </c>
    </row>
    <row r="89" spans="1:19" ht="73.5" customHeight="1" x14ac:dyDescent="0.3">
      <c r="A89" s="284" t="s">
        <v>12</v>
      </c>
      <c r="B89" s="285" t="s">
        <v>82</v>
      </c>
      <c r="C89" s="284" t="s">
        <v>296</v>
      </c>
      <c r="D89"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0</v>
      </c>
      <c r="E89" s="287">
        <f>Tableau_de_bord_par_contrôle[[#This Row],[Émissions annuelles totales de CO2e(kgCO2e)]]/(1000*Total)</f>
        <v>0</v>
      </c>
      <c r="F89" s="288">
        <f xml:space="preserve">
SUMIF(Cartographie_des_appareils_poste_de_travail_ordinateur_portable[Contrôle NIST],B89,Cartographie_des_appareils_poste_de_travail_ordinateur_portable[Émissions totales (kgC02e)])
+SUMIF(Cartographie_des_appareils_poste_de_travail_ordinateur_de_bureau[Contrôle NIST],B89,Cartographie_des_appareils_poste_de_travail_ordinateur_de_bureau[Émissions totales (kgC02e)])
+SUMIF(Cartographie_des_appareils_écrans[Contrôle NIST],B89,Cartographie_des_appareils_écrans[Émissions totales (kgC02e)])+SUMIF(Cartographie_des_appareils_Smartphones[Contrôle NIST],B89,Cartographie_des_appareils_Smartphones[Émissions totales (kgC02e)])</f>
        <v>0</v>
      </c>
      <c r="G89" s="289" t="str" cm="1">
        <f t="array" ref="G89">_xlfn.CONCAT(
IFERROR(_xlfn.CONCAT(_xlfn._xlws.FILTER(Cartographie_des_appareils_poste_de_travail_ordinateur_portable[Champ d''application],Cartographie_des_appareils_poste_de_travail_ordinateur_portable[Contrôle NIST]=B89)&amp;CHAR(10)),""),
IFERROR(_xlfn.CONCAT(_xlfn._xlws.FILTER(#REF!,#REF!=B89)&amp;CHAR(10)),""),
IFERROR(_xlfn.CONCAT(_xlfn._xlws.FILTER(Cartographie_des_appareils_écrans[Champ d''application],Cartographie_des_appareils_écrans[Contrôle NIST]=B89)&amp;CHAR(10)),""),
IFERROR(_xlfn.CONCAT(_xlfn._xlws.FILTER(Cartographie_des_appareils_Smartphones[Champ d''application],Cartographie_des_appareils_Smartphones[Contrôle NIST]=B89)&amp;CHAR(10)),"")
)</f>
        <v/>
      </c>
      <c r="H89" s="288">
        <f>SUMIF(Cartographie_des_appareils[Contrôle NIST],B89,Cartographie_des_appareils[Émissions totales (kgC02e)])</f>
        <v>0</v>
      </c>
      <c r="I89" s="289" t="str" cm="1">
        <f t="array" ref="I89">IFERROR(_xlfn.CONCAT(_xlfn._xlws.FILTER(Cartographie_des_appareils[Champ d''application],Cartographie_des_appareils[Contrôle NIST]=B89)&amp;CHAR(10)),"")</f>
        <v/>
      </c>
      <c r="J89" s="288">
        <f>SUMIF(Cartographie_des_serveurs_de_sauvegarde[Contrôle NIST],B89,Cartographie_des_serveurs_de_sauvegarde[Émissions totales (kgC02e)])</f>
        <v>0</v>
      </c>
      <c r="K89" s="289" t="str" cm="1">
        <f t="array" ref="K89">_xlfn.CONCAT(
IFERROR(_xlfn.CONCAT(_xlfn._xlws.FILTER(Cartographie_non_cyber_serveurs[Champ d''application],Cartographie_non_cyber_serveurs[Contrôle NIST]=B89)&amp;CHAR(10)),""),
IFERROR(_xlfn.CONCAT(_xlfn._xlws.FILTER(Cartographie_des_serveurs_de_sauvegarde[Champ d''application],Cartographie_des_serveurs_de_sauvegarde[Contrôle NIST]=B89)&amp;CHAR(10)),""),
)</f>
        <v/>
      </c>
      <c r="L89" s="288">
        <f>SUMIF(Cartographie_Solutions_Sur_Site[Contrôle NIST],B89,Cartographie_Solutions_Sur_Site[Émissions totales de carbone du NIST (kgCO2e)])
+SUMIF(Cartographie_Solutions_sur_Cloud[Contrôle NIST],B89,Cartographie_Solutions_sur_Cloud[Émissions totales de carbone du NIST (kgCO2e)])</f>
        <v>0</v>
      </c>
      <c r="M89" s="289" t="str" cm="1">
        <f t="array" ref="M89">_xlfn.CONCAT(
IFERROR(_xlfn.CONCAT(_xlfn._xlws.FILTER(Cartographie_Solutions_Sur_Site[Nom de l''application],#REF!=B89)&amp;CHAR(10)),""),
IFERROR(_xlfn.CONCAT(_xlfn._xlws.FILTER(Cartographie_Solutions_sur_Cloud[Nom de l''application],#REF!=B89)&amp;CHAR(10)),"")
)</f>
        <v/>
      </c>
      <c r="N89" s="288">
        <f>SUMIF(Cartographie_des_TM_externes[Contrôle NIST],B89,Cartographie_des_TM_externes[Émissions de carbone du NIST (kgCO2e)])
+SUMIF(Cartographie_des_externes_prix_fixes[Contrôle NIST],B89,Cartographie_des_externes_prix_fixes[Émissions de carbone du NIST (kgCO2e)])</f>
        <v>0</v>
      </c>
      <c r="O89" s="289" t="str" cm="1">
        <f t="array" ref="O89">_xlfn.CONCAT(
IFERROR(_xlfn.CONCAT(_xlfn._xlws.FILTER(Cartographie_des_TM_externes[Nom du service],#REF!=B89)&amp;CHAR(10)),""),
IFERROR(_xlfn.CONCAT(_xlfn._xlws.FILTER(Cartographie_des_externes_prix_fixes[Nom du service],#REF!=B89)&amp;CHAR(10)),""))</f>
        <v/>
      </c>
      <c r="P89" s="288">
        <f>SUMIF(Cartographie_voyage[Contrôle NIST],B89,Cartographie_voyage[Émissions totales (kgC02e)])</f>
        <v>0</v>
      </c>
      <c r="Q89" s="290" t="str" cm="1">
        <f t="array" ref="Q89">IFERROR(_xlfn.CONCAT(_xlfn._xlws.FILTER(Cartographie_voyage[Type de transport],Cartographie_voyage[Contrôle NIST]=B89)&amp;CHAR(10)),"")</f>
        <v/>
      </c>
      <c r="R89" s="288">
        <f>SUMIF(Cartographie_poste_de_travail_non_cyber_ordinateur_portable[Contrôle NIST],B89,Cartographie_poste_de_travail_non_cyber_ordinateur_portable[Émissions totales (kgC02e)])
+SUMIF(Cartographie_poste_de_travail_non_cyber_ordinateur_de_bureau[Contrôle NIST],B89,Cartographie_poste_de_travail_non_cyber_ordinateur_de_bureau[Émissions totales (kgC02e)])
+SUMIF(Cartographie_non_cyber_VDI[Contrôle NIST],B89,Cartographie_non_cyber_VDI[Émissions totales (kgC02e)])
+SUMIF(Cartographie_non_cyber_serveurs[Contrôle NIST],B89,Cartographie_non_cyber_serveurs[Émissions totales (kgC02e)])</f>
        <v>0</v>
      </c>
      <c r="S89" s="289" t="str" cm="1">
        <f t="array" ref="S89">_xlfn.CONCAT(
IFERROR(_xlfn.CONCAT(_xlfn._xlws.FILTER(Cartographie_poste_de_travail_non_cyber_ordinateur_portable[Champ d''application],Cartographie_poste_de_travail_non_cyber_ordinateur_portable[Contrôle NIST]=B89)&amp;CHAR(10)),""),
IFERROR(_xlfn.CONCAT(_xlfn._xlws.FILTER(Cartographie_poste_de_travail_non_cyber_ordinateur_de_bureau[Champ d''application],Cartographie_poste_de_travail_non_cyber_ordinateur_de_bureau[Contrôle NIST]=B89)&amp;CHAR(10)),""),
IFERROR(_xlfn.CONCAT(_xlfn._xlws.FILTER(Cartographie_non_cyber_VDI[Champ d''application],Cartographie_non_cyber_VDI[Contrôle NIST]=B89)&amp;CHAR(10)),""),
IFERROR(_xlfn.CONCAT(_xlfn._xlws.FILTER(Cartographie_non_cyber_serveurs[Champ d''application],Cartographie_non_cyber_serveurs[Contrôle NIST]=B89)&amp;CHAR(10)),"")
)</f>
        <v/>
      </c>
    </row>
    <row r="90" spans="1:19" ht="73.5" customHeight="1" x14ac:dyDescent="0.3">
      <c r="A90" s="292" t="s">
        <v>13</v>
      </c>
      <c r="B90" s="293" t="s">
        <v>83</v>
      </c>
      <c r="C90" s="292" t="s">
        <v>297</v>
      </c>
      <c r="D90" s="286">
        <f>Tableau_de_bord_par_contrôle[[#This Row],[Émissions des appareils Cyber kgCO2e]]+Tableau_de_bord_par_contrôle[[#This Row],[Émissions du réseau  kgCO2e]]+Tableau_de_bord_par_contrôle[[#This Row],[Émissions des serveurs de sauvegarde  kgCO2e]]+Tableau_de_bord_par_contrôle[[#This Row],[Émissions de l''Infra des logiciels Cyber kgCO2e]]+Tableau_de_bord_par_contrôle[[#This Row],[Émissions des services externes kgCO2e]]+Tableau_de_bord_par_contrôle[[#This Row],[Émissions liées aux voyages kgCO2e]]+Tableau_de_bord_par_contrôle[[#This Row],[Émissions des équipements Non cyber kgCO2e2]]</f>
        <v>1963718.6593110394</v>
      </c>
      <c r="E90" s="287">
        <f>Tableau_de_bord_par_contrôle[[#This Row],[Émissions annuelles totales de CO2e(kgCO2e)]]/(1000*Total)</f>
        <v>0.34941099690634381</v>
      </c>
      <c r="F90" s="288">
        <f xml:space="preserve">
SUMIF(Cartographie_des_appareils_poste_de_travail_ordinateur_portable[Contrôle NIST],B90,Cartographie_des_appareils_poste_de_travail_ordinateur_portable[Émissions totales (kgC02e)])
+SUMIF(Cartographie_des_appareils_poste_de_travail_ordinateur_de_bureau[Contrôle NIST],B90,Cartographie_des_appareils_poste_de_travail_ordinateur_de_bureau[Émissions totales (kgC02e)])
+SUMIF(Cartographie_des_appareils_écrans[Contrôle NIST],B90,Cartographie_des_appareils_écrans[Émissions totales (kgC02e)])+SUMIF(Cartographie_des_appareils_Smartphones[Contrôle NIST],B90,Cartographie_des_appareils_Smartphones[Émissions totales (kgC02e)])</f>
        <v>0</v>
      </c>
      <c r="G90" s="289" t="str" cm="1">
        <f t="array" ref="G90">_xlfn.CONCAT(
IFERROR(_xlfn.CONCAT(_xlfn._xlws.FILTER(Cartographie_des_appareils_poste_de_travail_ordinateur_portable[Champ d''application],Cartographie_des_appareils_poste_de_travail_ordinateur_portable[Contrôle NIST]=B90)&amp;CHAR(10)),""),
IFERROR(_xlfn.CONCAT(_xlfn._xlws.FILTER(#REF!,#REF!=B90)&amp;CHAR(10)),""),
IFERROR(_xlfn.CONCAT(_xlfn._xlws.FILTER(Cartographie_des_appareils_écrans[Champ d''application],Cartographie_des_appareils_écrans[Contrôle NIST]=B90)&amp;CHAR(10)),""),
IFERROR(_xlfn.CONCAT(_xlfn._xlws.FILTER(Cartographie_des_appareils_Smartphones[Champ d''application],Cartographie_des_appareils_Smartphones[Contrôle NIST]=B90)&amp;CHAR(10)),"")
)</f>
        <v/>
      </c>
      <c r="H90" s="294">
        <f>SUMIF(Cartographie_des_appareils[Contrôle NIST],B90,Cartographie_des_appareils[Émissions totales (kgC02e)])</f>
        <v>0</v>
      </c>
      <c r="I90" s="295" t="str" cm="1">
        <f t="array" ref="I90">IFERROR(_xlfn.CONCAT(_xlfn._xlws.FILTER(Cartographie_des_appareils[Champ d''application],Cartographie_des_appareils[Contrôle NIST]=B90)&amp;CHAR(10)),"")</f>
        <v/>
      </c>
      <c r="J90" s="294">
        <f>SUMIF(Cartographie_des_serveurs_de_sauvegarde[Contrôle NIST],B90,Cartographie_des_serveurs_de_sauvegarde[Émissions totales (kgC02e)])</f>
        <v>0</v>
      </c>
      <c r="K90" s="295" t="str" cm="1">
        <f t="array" ref="K90">_xlfn.CONCAT(
IFERROR(_xlfn.CONCAT(_xlfn._xlws.FILTER(Cartographie_non_cyber_serveurs[Champ d''application],Cartographie_non_cyber_serveurs[Contrôle NIST]=B90)&amp;CHAR(10)),""),
IFERROR(_xlfn.CONCAT(_xlfn._xlws.FILTER(Cartographie_des_serveurs_de_sauvegarde[Champ d''application],Cartographie_des_serveurs_de_sauvegarde[Contrôle NIST]=B90)&amp;CHAR(10)),""),
)</f>
        <v/>
      </c>
      <c r="L90" s="294">
        <f>SUMIF(Cartographie_Solutions_Sur_Site[Contrôle NIST],B90,Cartographie_Solutions_Sur_Site[Émissions totales de carbone du NIST (kgCO2e)])
+SUMIF(Cartographie_Solutions_sur_Cloud[Contrôle NIST],B90,Cartographie_Solutions_sur_Cloud[Émissions totales de carbone du NIST (kgCO2e)])</f>
        <v>1595568.666</v>
      </c>
      <c r="M90" s="289" t="str" cm="1">
        <f t="array" ref="M90">_xlfn.CONCAT(
IFERROR(_xlfn.CONCAT(_xlfn._xlws.FILTER(Cartographie_Solutions_Sur_Site[Nom de l''application],#REF!=B90)&amp;CHAR(10)),""),
IFERROR(_xlfn.CONCAT(_xlfn._xlws.FILTER(Cartographie_Solutions_sur_Cloud[Nom de l''application],#REF!=B90)&amp;CHAR(10)),"")
)</f>
        <v/>
      </c>
      <c r="N90" s="294">
        <f>SUMIF(Cartographie_des_TM_externes[Contrôle NIST],B90,Cartographie_des_TM_externes[Émissions de carbone du NIST (kgCO2e)])
+SUMIF(Cartographie_des_externes_prix_fixes[Contrôle NIST],B90,Cartographie_des_externes_prix_fixes[Émissions de carbone du NIST (kgCO2e)])</f>
        <v>368149.99331103952</v>
      </c>
      <c r="O90" s="295" t="str" cm="1">
        <f t="array" ref="O90">_xlfn.CONCAT(
IFERROR(_xlfn.CONCAT(_xlfn._xlws.FILTER(Cartographie_des_TM_externes[Nom du service],#REF!=B90)&amp;CHAR(10)),""),
IFERROR(_xlfn.CONCAT(_xlfn._xlws.FILTER(Cartographie_des_externes_prix_fixes[Nom du service],#REF!=B90)&amp;CHAR(10)),""))</f>
        <v/>
      </c>
      <c r="P90" s="294">
        <f>SUMIF(Cartographie_voyage[Contrôle NIST],B90,Cartographie_voyage[Émissions totales (kgC02e)])</f>
        <v>0</v>
      </c>
      <c r="Q90" s="296" t="str" cm="1">
        <f t="array" ref="Q90">IFERROR(_xlfn.CONCAT(_xlfn._xlws.FILTER(Cartographie_voyage[Type de transport],Cartographie_voyage[Contrôle NIST]=B90)&amp;CHAR(10)),"")</f>
        <v/>
      </c>
      <c r="R90" s="294">
        <f>SUMIF(Cartographie_poste_de_travail_non_cyber_ordinateur_portable[Contrôle NIST],B90,Cartographie_poste_de_travail_non_cyber_ordinateur_portable[Émissions totales (kgC02e)])
+SUMIF(Cartographie_poste_de_travail_non_cyber_ordinateur_de_bureau[Contrôle NIST],B90,Cartographie_poste_de_travail_non_cyber_ordinateur_de_bureau[Émissions totales (kgC02e)])
+SUMIF(Cartographie_non_cyber_VDI[Contrôle NIST],B90,Cartographie_non_cyber_VDI[Émissions totales (kgC02e)])
+SUMIF(Cartographie_non_cyber_serveurs[Contrôle NIST],B90,Cartographie_non_cyber_serveurs[Émissions totales (kgC02e)])</f>
        <v>0</v>
      </c>
      <c r="S90" s="295" t="str" cm="1">
        <f t="array" ref="S90">_xlfn.CONCAT(
IFERROR(_xlfn.CONCAT(_xlfn._xlws.FILTER(Cartographie_poste_de_travail_non_cyber_ordinateur_portable[Champ d''application],Cartographie_poste_de_travail_non_cyber_ordinateur_portable[Contrôle NIST]=B90)&amp;CHAR(10)),""),
IFERROR(_xlfn.CONCAT(_xlfn._xlws.FILTER(Cartographie_poste_de_travail_non_cyber_ordinateur_de_bureau[Champ d''application],Cartographie_poste_de_travail_non_cyber_ordinateur_de_bureau[Contrôle NIST]=B90)&amp;CHAR(10)),""),
IFERROR(_xlfn.CONCAT(_xlfn._xlws.FILTER(Cartographie_non_cyber_VDI[Champ d''application],Cartographie_non_cyber_VDI[Contrôle NIST]=B90)&amp;CHAR(10)),""),
IFERROR(_xlfn.CONCAT(_xlfn._xlws.FILTER(Cartographie_non_cyber_serveurs[Champ d''application],Cartographie_non_cyber_serveurs[Contrôle NIST]=B90)&amp;CHAR(10)),"")
)</f>
        <v/>
      </c>
    </row>
  </sheetData>
  <sortState xmlns:xlrd2="http://schemas.microsoft.com/office/spreadsheetml/2017/richdata2" ref="B20:Q90">
    <sortCondition ref="B21:B90"/>
  </sortState>
  <conditionalFormatting sqref="F21:Q90">
    <cfRule type="expression" dxfId="2" priority="4">
      <formula>(F21&gt;0)*(F21&lt;&gt;"")</formula>
    </cfRule>
  </conditionalFormatting>
  <conditionalFormatting sqref="R21:R90">
    <cfRule type="expression" dxfId="1" priority="1">
      <formula>(R21&gt;0)*(R21&lt;&gt;"")</formula>
    </cfRule>
  </conditionalFormatting>
  <conditionalFormatting sqref="S21:S90">
    <cfRule type="expression" dxfId="0" priority="2">
      <formula>(S21&gt;0)*(S21&lt;&gt;"")</formula>
    </cfRule>
  </conditionalFormatting>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4390F-1145-458D-8234-2521306F6856}">
  <sheetPr>
    <tabColor theme="5" tint="0.39997558519241921"/>
  </sheetPr>
  <dimension ref="A1:J241"/>
  <sheetViews>
    <sheetView showGridLines="0" topLeftCell="F16" zoomScale="69" zoomScaleNormal="40" workbookViewId="0">
      <selection activeCell="M26" sqref="M26"/>
    </sheetView>
  </sheetViews>
  <sheetFormatPr baseColWidth="10" defaultColWidth="11.4140625" defaultRowHeight="14" x14ac:dyDescent="0.3"/>
  <cols>
    <col min="1" max="1" width="46.33203125" customWidth="1"/>
    <col min="2" max="2" width="43.1640625" customWidth="1"/>
    <col min="3" max="3" width="14.5" customWidth="1"/>
    <col min="4" max="4" width="24.4140625" customWidth="1"/>
    <col min="5" max="5" width="29.6640625" customWidth="1"/>
    <col min="6" max="6" width="26.75" customWidth="1"/>
    <col min="7" max="7" width="14.9140625" customWidth="1"/>
    <col min="8" max="8" width="27.5" customWidth="1"/>
  </cols>
  <sheetData>
    <row r="1" spans="1:3" x14ac:dyDescent="0.3">
      <c r="A1" s="98" t="s">
        <v>187</v>
      </c>
      <c r="B1" s="299">
        <f>Total</f>
        <v>5620.08258668915</v>
      </c>
    </row>
    <row r="5" spans="1:3" x14ac:dyDescent="0.3">
      <c r="A5" s="300" t="s">
        <v>417</v>
      </c>
      <c r="B5" s="300" t="s">
        <v>188</v>
      </c>
      <c r="C5" s="300" t="s">
        <v>189</v>
      </c>
    </row>
    <row r="6" spans="1:3" x14ac:dyDescent="0.3">
      <c r="A6" t="s">
        <v>0</v>
      </c>
      <c r="B6"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6" s="302">
        <f>Tableau85[[#This Row],[tCO2e]]/$B$1</f>
        <v>0</v>
      </c>
    </row>
    <row r="7" spans="1:3" x14ac:dyDescent="0.3">
      <c r="A7" t="s">
        <v>1</v>
      </c>
      <c r="B7"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1622.6427868316812</v>
      </c>
      <c r="C7" s="302">
        <f>Tableau85[[#This Row],[tCO2e]]/$B$1</f>
        <v>0.28872223171147332</v>
      </c>
    </row>
    <row r="8" spans="1:3" x14ac:dyDescent="0.3">
      <c r="A8" t="s">
        <v>2</v>
      </c>
      <c r="B8"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8" s="302">
        <f>Tableau85[[#This Row],[tCO2e]]/$B$1</f>
        <v>0</v>
      </c>
    </row>
    <row r="9" spans="1:3" x14ac:dyDescent="0.3">
      <c r="A9" t="s">
        <v>3</v>
      </c>
      <c r="B9"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9" s="302">
        <f>Tableau85[[#This Row],[tCO2e]]/$B$1</f>
        <v>0</v>
      </c>
    </row>
    <row r="10" spans="1:3" x14ac:dyDescent="0.3">
      <c r="A10" t="s">
        <v>4</v>
      </c>
      <c r="B10"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15.972790834285716</v>
      </c>
      <c r="C10" s="302">
        <f>Tableau85[[#This Row],[tCO2e]]/$B$1</f>
        <v>2.8420918354681076E-3</v>
      </c>
    </row>
    <row r="11" spans="1:3" x14ac:dyDescent="0.3">
      <c r="A11" t="s">
        <v>5</v>
      </c>
      <c r="B11"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1.5960111374999999</v>
      </c>
      <c r="C11" s="302">
        <f>Tableau85[[#This Row],[tCO2e]]/$B$1</f>
        <v>2.839835737076289E-4</v>
      </c>
    </row>
    <row r="12" spans="1:3" x14ac:dyDescent="0.3">
      <c r="A12" t="s">
        <v>6</v>
      </c>
      <c r="B12"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690.17148504166664</v>
      </c>
      <c r="C12" s="302">
        <f>Tableau85[[#This Row],[tCO2e]]/$B$1</f>
        <v>0.12280450943484336</v>
      </c>
    </row>
    <row r="13" spans="1:3" x14ac:dyDescent="0.3">
      <c r="A13" t="s">
        <v>7</v>
      </c>
      <c r="B13"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13" s="302">
        <f>Tableau85[[#This Row],[tCO2e]]/$B$1</f>
        <v>0</v>
      </c>
    </row>
    <row r="14" spans="1:3" x14ac:dyDescent="0.3">
      <c r="A14" t="s">
        <v>8</v>
      </c>
      <c r="B14"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14" s="302">
        <f>Tableau85[[#This Row],[tCO2e]]/$B$1</f>
        <v>0</v>
      </c>
    </row>
    <row r="15" spans="1:3" x14ac:dyDescent="0.3">
      <c r="A15" t="s">
        <v>9</v>
      </c>
      <c r="B15"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1273.2061585702072</v>
      </c>
      <c r="C15" s="302">
        <f>Tableau85[[#This Row],[tCO2e]]/$B$1</f>
        <v>0.22654580941314359</v>
      </c>
    </row>
    <row r="16" spans="1:3" x14ac:dyDescent="0.3">
      <c r="A16" t="s">
        <v>10</v>
      </c>
      <c r="B16"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v>
      </c>
      <c r="C16" s="302">
        <f>Tableau85[[#This Row],[tCO2e]]/$B$1</f>
        <v>0</v>
      </c>
    </row>
    <row r="17" spans="1:8" x14ac:dyDescent="0.3">
      <c r="A17" t="s">
        <v>11</v>
      </c>
      <c r="B17"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19.378098055695556</v>
      </c>
      <c r="C17" s="302">
        <f>Tableau85[[#This Row],[tCO2e]]/$B$1</f>
        <v>3.4480094832754758E-3</v>
      </c>
    </row>
    <row r="18" spans="1:8" x14ac:dyDescent="0.3">
      <c r="A18" t="s">
        <v>12</v>
      </c>
      <c r="B18"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0.31970883174120279</v>
      </c>
      <c r="C18" s="302">
        <f>Tableau85[[#This Row],[tCO2e]]/$B$1</f>
        <v>5.6886856520296553E-5</v>
      </c>
    </row>
    <row r="19" spans="1:8" x14ac:dyDescent="0.3">
      <c r="A19" t="s">
        <v>13</v>
      </c>
      <c r="B19" s="301">
        <f>(_xlfn.XLOOKUP(Tableau85[[#This Row],[Sujet]],Cartographie_des_résultats_des_appareils_par_sujet[Sujet],Cartographie_des_résultats_des_appareils_par_sujet[Émissions totales Dispositifs (kgCO2e)])
+_xlfn.XLOOKUP(Tableau85[[#This Row],[Sujet]],Cartographie_des_résultats_externes_par_sujet[Sujet],Cartographie_des_résultats_externes_par_sujet[Total des émissions des services extérieurs (kgCO2e)])
+_xlfn.XLOOKUP(Tableau85[[#This Row],[Sujet]],Cartographie_des_résultats_du_réseau_par_sujet[Sujet],Cartographie_des_résultats_du_réseau_par_sujet[Émissions des appareils (kgCO2e)])
+_xlfn.XLOOKUP(Tableau85[[#This Row],[Sujet]],Cartographie_Serveurs_par_Resultats_par_Sujet[Sujet],Cartographie_Serveurs_par_Resultats_par_Sujet[Total des émissions des services sur place (kgCO2e)])
+_xlfn.XLOOKUP(Tableau85[[#This Row],[Sujet]],Cartographie_Solutions_par_Resultats_par_Sujet[Sujet],Cartographie_Solutions_par_Resultats_par_Sujet[Total des émissions de la solution Cyber (kgCO2e)])
+_xlfn.XLOOKUP(Tableau85[[#This Row],[Sujet]],Cartographie_des_résultats_de_voyage_par_sujet[Sujet],Cartographie_des_résultats_de_voyage_par_sujet[Total des voyages (kgCO2e)]))/1000</f>
        <v>1963.7186593110393</v>
      </c>
      <c r="C19" s="302">
        <f>Tableau85[[#This Row],[tCO2e]]/$B$1</f>
        <v>0.34941099690634381</v>
      </c>
    </row>
    <row r="23" spans="1:8" x14ac:dyDescent="0.3">
      <c r="B23" s="339" t="s">
        <v>742</v>
      </c>
      <c r="C23" s="339"/>
      <c r="D23" s="339"/>
      <c r="E23" s="339"/>
      <c r="F23" s="339"/>
      <c r="G23" s="339"/>
    </row>
    <row r="24" spans="1:8" x14ac:dyDescent="0.3">
      <c r="A24" s="300" t="s">
        <v>417</v>
      </c>
      <c r="B24" s="3" t="s">
        <v>430</v>
      </c>
      <c r="C24" s="3" t="s">
        <v>426</v>
      </c>
      <c r="D24" s="3" t="s">
        <v>445</v>
      </c>
      <c r="E24" s="5" t="s">
        <v>446</v>
      </c>
      <c r="F24" s="3" t="s">
        <v>427</v>
      </c>
      <c r="G24" s="3" t="s">
        <v>428</v>
      </c>
      <c r="H24" s="5" t="s">
        <v>447</v>
      </c>
    </row>
    <row r="25" spans="1:8" x14ac:dyDescent="0.3">
      <c r="A25" s="88" t="s">
        <v>0</v>
      </c>
      <c r="B25" s="301">
        <f>_xlfn.XLOOKUP(Tableau6[[#This Row],[Sujet]],Cartographie_des_résultats_des_appareils_par_sujet[Sujet],Cartographie_des_résultats_des_appareils_par_sujet[Émissions totales Dispositifs (kgCO2e)])/1000</f>
        <v>0</v>
      </c>
      <c r="C25" s="301">
        <f>_xlfn.XLOOKUP(Tableau6[[#This Row],[Sujet]],Cartographie_des_résultats_du_réseau_par_sujet[Sujet],Cartographie_des_résultats_du_réseau_par_sujet[Émissions des appareils (kgCO2e)])/1000</f>
        <v>0</v>
      </c>
      <c r="D25" s="301">
        <f>_xlfn.XLOOKUP(Tableau6[[#This Row],[Sujet]],Cartographie_Serveurs_par_Resultats_par_Sujet[Sujet],Cartographie_Serveurs_par_Resultats_par_Sujet[Total des émissions des services sur place (kgCO2e)])/1000</f>
        <v>0</v>
      </c>
      <c r="E25" s="301">
        <f>_xlfn.XLOOKUP(Tableau6[[#This Row],[Sujet]],Cartographie_Solutions_par_Resultats_par_Sujet[Sujet],Cartographie_Solutions_par_Resultats_par_Sujet[Total des émissions de la solution Cyber (kgCO2e)])/1000</f>
        <v>0</v>
      </c>
      <c r="F25" s="301">
        <f>_xlfn.XLOOKUP(Tableau6[[#This Row],[Sujet]],Cartographie_des_résultats_externes_par_sujet[Sujet],Cartographie_des_résultats_externes_par_sujet[Total des émissions des services extérieurs (kgCO2e)])/1000</f>
        <v>0</v>
      </c>
      <c r="G25" s="301">
        <f>_xlfn.XLOOKUP(Tableau6[[#This Row],[Sujet]],Cartographie_des_résultats_de_voyage_par_sujet[Sujet],Cartographie_des_résultats_de_voyage_par_sujet[Total des voyages (kgCO2e)])/1000</f>
        <v>0</v>
      </c>
      <c r="H25" s="303">
        <f>_xlfn.XLOOKUP(Tableau6[[#This Row],[Sujet]],Cartographie_des_résultats_non_cyber_par_sujet[Contrôle NIST],Cartographie_des_résultats_non_cyber_par_sujet[Total des émissions de logs et d''antivirus pour les équipements non Cyber (kgCO2e)])/1000</f>
        <v>0</v>
      </c>
    </row>
    <row r="26" spans="1:8" x14ac:dyDescent="0.3">
      <c r="A26" s="88" t="s">
        <v>1</v>
      </c>
      <c r="B26" s="301">
        <f>_xlfn.XLOOKUP(Tableau6[[#This Row],[Sujet]],Cartographie_des_résultats_des_appareils_par_sujet[Sujet],Cartographie_des_résultats_des_appareils_par_sujet[Émissions totales Dispositifs (kgCO2e)])/1000</f>
        <v>0</v>
      </c>
      <c r="C26" s="301">
        <f>_xlfn.XLOOKUP(Tableau6[[#This Row],[Sujet]],Cartographie_des_résultats_du_réseau_par_sujet[Sujet],Cartographie_des_résultats_du_réseau_par_sujet[Émissions des appareils (kgCO2e)])/1000</f>
        <v>0</v>
      </c>
      <c r="D26" s="301">
        <f>_xlfn.XLOOKUP(Tableau6[[#This Row],[Sujet]],Cartographie_Serveurs_par_Resultats_par_Sujet[Sujet],Cartographie_Serveurs_par_Resultats_par_Sujet[Total des émissions des services sur place (kgCO2e)])/1000</f>
        <v>0</v>
      </c>
      <c r="E26" s="301">
        <f>_xlfn.XLOOKUP(Tableau6[[#This Row],[Sujet]],Cartographie_Solutions_par_Resultats_par_Sujet[Sujet],Cartographie_Solutions_par_Resultats_par_Sujet[Total des émissions de la solution Cyber (kgCO2e)])/1000</f>
        <v>1615.2009471719625</v>
      </c>
      <c r="F26" s="301">
        <f>_xlfn.XLOOKUP(Tableau6[[#This Row],[Sujet]],Cartographie_des_résultats_externes_par_sujet[Sujet],Cartographie_des_résultats_externes_par_sujet[Total des émissions des services extérieurs (kgCO2e)])/1000</f>
        <v>7.4418396597186014</v>
      </c>
      <c r="G26" s="301">
        <f>_xlfn.XLOOKUP(Tableau6[[#This Row],[Sujet]],Cartographie_des_résultats_de_voyage_par_sujet[Sujet],Cartographie_des_résultats_de_voyage_par_sujet[Total des voyages (kgCO2e)])/1000</f>
        <v>0</v>
      </c>
      <c r="H26" s="301">
        <f>_xlfn.XLOOKUP(Tableau6[[#This Row],[Sujet]],Cartographie_des_résultats_non_cyber_par_sujet[Contrôle NIST],Cartographie_des_résultats_non_cyber_par_sujet[Total des émissions de logs et d''antivirus pour les équipements non Cyber (kgCO2e)])/1000</f>
        <v>0</v>
      </c>
    </row>
    <row r="27" spans="1:8" x14ac:dyDescent="0.3">
      <c r="A27" s="88" t="s">
        <v>2</v>
      </c>
      <c r="B27" s="301">
        <f>_xlfn.XLOOKUP(Tableau6[[#This Row],[Sujet]],Cartographie_des_résultats_des_appareils_par_sujet[Sujet],Cartographie_des_résultats_des_appareils_par_sujet[Émissions totales Dispositifs (kgCO2e)])/1000</f>
        <v>0</v>
      </c>
      <c r="C27" s="301">
        <f>_xlfn.XLOOKUP(Tableau6[[#This Row],[Sujet]],Cartographie_des_résultats_du_réseau_par_sujet[Sujet],Cartographie_des_résultats_du_réseau_par_sujet[Émissions des appareils (kgCO2e)])/1000</f>
        <v>0</v>
      </c>
      <c r="D27" s="301">
        <f>_xlfn.XLOOKUP(Tableau6[[#This Row],[Sujet]],Cartographie_Serveurs_par_Resultats_par_Sujet[Sujet],Cartographie_Serveurs_par_Resultats_par_Sujet[Total des émissions des services sur place (kgCO2e)])/1000</f>
        <v>0</v>
      </c>
      <c r="E27" s="301">
        <f>_xlfn.XLOOKUP(Tableau6[[#This Row],[Sujet]],Cartographie_Solutions_par_Resultats_par_Sujet[Sujet],Cartographie_Solutions_par_Resultats_par_Sujet[Total des émissions de la solution Cyber (kgCO2e)])/1000</f>
        <v>0</v>
      </c>
      <c r="F27" s="301">
        <f>_xlfn.XLOOKUP(Tableau6[[#This Row],[Sujet]],Cartographie_des_résultats_externes_par_sujet[Sujet],Cartographie_des_résultats_externes_par_sujet[Total des émissions des services extérieurs (kgCO2e)])/1000</f>
        <v>0</v>
      </c>
      <c r="G27" s="301">
        <f>_xlfn.XLOOKUP(Tableau6[[#This Row],[Sujet]],Cartographie_des_résultats_de_voyage_par_sujet[Sujet],Cartographie_des_résultats_de_voyage_par_sujet[Total des voyages (kgCO2e)])/1000</f>
        <v>0</v>
      </c>
      <c r="H27" s="301">
        <f>_xlfn.XLOOKUP(Tableau6[[#This Row],[Sujet]],Cartographie_des_résultats_non_cyber_par_sujet[Contrôle NIST],Cartographie_des_résultats_non_cyber_par_sujet[Total des émissions de logs et d''antivirus pour les équipements non Cyber (kgCO2e)])/1000</f>
        <v>0</v>
      </c>
    </row>
    <row r="28" spans="1:8" x14ac:dyDescent="0.3">
      <c r="A28" s="88" t="s">
        <v>3</v>
      </c>
      <c r="B28" s="301">
        <f>_xlfn.XLOOKUP(Tableau6[[#This Row],[Sujet]],Cartographie_des_résultats_des_appareils_par_sujet[Sujet],Cartographie_des_résultats_des_appareils_par_sujet[Émissions totales Dispositifs (kgCO2e)])/1000</f>
        <v>0</v>
      </c>
      <c r="C28" s="301">
        <f>_xlfn.XLOOKUP(Tableau6[[#This Row],[Sujet]],Cartographie_des_résultats_du_réseau_par_sujet[Sujet],Cartographie_des_résultats_du_réseau_par_sujet[Émissions des appareils (kgCO2e)])/1000</f>
        <v>0</v>
      </c>
      <c r="D28" s="301">
        <f>_xlfn.XLOOKUP(Tableau6[[#This Row],[Sujet]],Cartographie_Serveurs_par_Resultats_par_Sujet[Sujet],Cartographie_Serveurs_par_Resultats_par_Sujet[Total des émissions des services sur place (kgCO2e)])/1000</f>
        <v>0</v>
      </c>
      <c r="E28" s="301">
        <f>_xlfn.XLOOKUP(Tableau6[[#This Row],[Sujet]],Cartographie_Solutions_par_Resultats_par_Sujet[Sujet],Cartographie_Solutions_par_Resultats_par_Sujet[Total des émissions de la solution Cyber (kgCO2e)])/1000</f>
        <v>0</v>
      </c>
      <c r="F28" s="301">
        <f>_xlfn.XLOOKUP(Tableau6[[#This Row],[Sujet]],Cartographie_des_résultats_externes_par_sujet[Sujet],Cartographie_des_résultats_externes_par_sujet[Total des émissions des services extérieurs (kgCO2e)])/1000</f>
        <v>0</v>
      </c>
      <c r="G28" s="301">
        <f>_xlfn.XLOOKUP(Tableau6[[#This Row],[Sujet]],Cartographie_des_résultats_de_voyage_par_sujet[Sujet],Cartographie_des_résultats_de_voyage_par_sujet[Total des voyages (kgCO2e)])/1000</f>
        <v>0</v>
      </c>
      <c r="H28" s="301">
        <f>_xlfn.XLOOKUP(Tableau6[[#This Row],[Sujet]],Cartographie_des_résultats_non_cyber_par_sujet[Contrôle NIST],Cartographie_des_résultats_non_cyber_par_sujet[Total des émissions de logs et d''antivirus pour les équipements non Cyber (kgCO2e)])/1000</f>
        <v>0</v>
      </c>
    </row>
    <row r="29" spans="1:8" x14ac:dyDescent="0.3">
      <c r="A29" s="88" t="s">
        <v>4</v>
      </c>
      <c r="B29" s="301">
        <f>_xlfn.XLOOKUP(Tableau6[[#This Row],[Sujet]],Cartographie_des_résultats_des_appareils_par_sujet[Sujet],Cartographie_des_résultats_des_appareils_par_sujet[Émissions totales Dispositifs (kgCO2e)])/1000</f>
        <v>0</v>
      </c>
      <c r="C29" s="301">
        <f>_xlfn.XLOOKUP(Tableau6[[#This Row],[Sujet]],Cartographie_des_résultats_du_réseau_par_sujet[Sujet],Cartographie_des_résultats_du_réseau_par_sujet[Émissions des appareils (kgCO2e)])/1000</f>
        <v>15.972790834285716</v>
      </c>
      <c r="D29" s="301">
        <f>_xlfn.XLOOKUP(Tableau6[[#This Row],[Sujet]],Cartographie_Serveurs_par_Resultats_par_Sujet[Sujet],Cartographie_Serveurs_par_Resultats_par_Sujet[Total des émissions des services sur place (kgCO2e)])/1000</f>
        <v>0</v>
      </c>
      <c r="E29" s="301">
        <f>_xlfn.XLOOKUP(Tableau6[[#This Row],[Sujet]],Cartographie_Solutions_par_Resultats_par_Sujet[Sujet],Cartographie_Solutions_par_Resultats_par_Sujet[Total des émissions de la solution Cyber (kgCO2e)])/1000</f>
        <v>0</v>
      </c>
      <c r="F29" s="301">
        <f>_xlfn.XLOOKUP(Tableau6[[#This Row],[Sujet]],Cartographie_des_résultats_externes_par_sujet[Sujet],Cartographie_des_résultats_externes_par_sujet[Total des émissions des services extérieurs (kgCO2e)])/1000</f>
        <v>0</v>
      </c>
      <c r="G29" s="301">
        <f>_xlfn.XLOOKUP(Tableau6[[#This Row],[Sujet]],Cartographie_des_résultats_de_voyage_par_sujet[Sujet],Cartographie_des_résultats_de_voyage_par_sujet[Total des voyages (kgCO2e)])/1000</f>
        <v>0</v>
      </c>
      <c r="H29" s="301">
        <f>_xlfn.XLOOKUP(Tableau6[[#This Row],[Sujet]],Cartographie_des_résultats_non_cyber_par_sujet[Contrôle NIST],Cartographie_des_résultats_non_cyber_par_sujet[Total des émissions de logs et d''antivirus pour les équipements non Cyber (kgCO2e)])/1000</f>
        <v>8.1166390390833332</v>
      </c>
    </row>
    <row r="30" spans="1:8" x14ac:dyDescent="0.3">
      <c r="A30" s="88" t="s">
        <v>5</v>
      </c>
      <c r="B30" s="301">
        <f>_xlfn.XLOOKUP(Tableau6[[#This Row],[Sujet]],Cartographie_des_résultats_des_appareils_par_sujet[Sujet],Cartographie_des_résultats_des_appareils_par_sujet[Émissions totales Dispositifs (kgCO2e)])/1000</f>
        <v>1.5960111374999999</v>
      </c>
      <c r="C30" s="301">
        <f>_xlfn.XLOOKUP(Tableau6[[#This Row],[Sujet]],Cartographie_des_résultats_du_réseau_par_sujet[Sujet],Cartographie_des_résultats_du_réseau_par_sujet[Émissions des appareils (kgCO2e)])/1000</f>
        <v>0</v>
      </c>
      <c r="D30" s="301">
        <f>_xlfn.XLOOKUP(Tableau6[[#This Row],[Sujet]],Cartographie_Serveurs_par_Resultats_par_Sujet[Sujet],Cartographie_Serveurs_par_Resultats_par_Sujet[Total des émissions des services sur place (kgCO2e)])/1000</f>
        <v>0</v>
      </c>
      <c r="E30" s="301">
        <f>_xlfn.XLOOKUP(Tableau6[[#This Row],[Sujet]],Cartographie_Solutions_par_Resultats_par_Sujet[Sujet],Cartographie_Solutions_par_Resultats_par_Sujet[Total des émissions de la solution Cyber (kgCO2e)])/1000</f>
        <v>0</v>
      </c>
      <c r="F30" s="301">
        <f>_xlfn.XLOOKUP(Tableau6[[#This Row],[Sujet]],Cartographie_des_résultats_externes_par_sujet[Sujet],Cartographie_des_résultats_externes_par_sujet[Total des émissions des services extérieurs (kgCO2e)])/1000</f>
        <v>0</v>
      </c>
      <c r="G30" s="301">
        <f>_xlfn.XLOOKUP(Tableau6[[#This Row],[Sujet]],Cartographie_des_résultats_de_voyage_par_sujet[Sujet],Cartographie_des_résultats_de_voyage_par_sujet[Total des voyages (kgCO2e)])/1000</f>
        <v>0</v>
      </c>
      <c r="H30" s="301">
        <f>_xlfn.XLOOKUP(Tableau6[[#This Row],[Sujet]],Cartographie_des_résultats_non_cyber_par_sujet[Contrôle NIST],Cartographie_des_résultats_non_cyber_par_sujet[Total des émissions de logs et d''antivirus pour les équipements non Cyber (kgCO2e)])/1000</f>
        <v>0.61033191900000006</v>
      </c>
    </row>
    <row r="31" spans="1:8" x14ac:dyDescent="0.3">
      <c r="A31" s="88" t="s">
        <v>6</v>
      </c>
      <c r="B31" s="301">
        <f>_xlfn.XLOOKUP(Tableau6[[#This Row],[Sujet]],Cartographie_des_résultats_des_appareils_par_sujet[Sujet],Cartographie_des_résultats_des_appareils_par_sujet[Émissions totales Dispositifs (kgCO2e)])/1000</f>
        <v>21.934199041666666</v>
      </c>
      <c r="C31" s="301">
        <f>_xlfn.XLOOKUP(Tableau6[[#This Row],[Sujet]],Cartographie_des_résultats_du_réseau_par_sujet[Sujet],Cartographie_des_résultats_du_réseau_par_sujet[Émissions des appareils (kgCO2e)])/1000</f>
        <v>0</v>
      </c>
      <c r="D31" s="301">
        <f>_xlfn.XLOOKUP(Tableau6[[#This Row],[Sujet]],Cartographie_Serveurs_par_Resultats_par_Sujet[Sujet],Cartographie_Serveurs_par_Resultats_par_Sujet[Total des émissions des services sur place (kgCO2e)])/1000</f>
        <v>0</v>
      </c>
      <c r="E31" s="301">
        <f>_xlfn.XLOOKUP(Tableau6[[#This Row],[Sujet]],Cartographie_Solutions_par_Resultats_par_Sujet[Sujet],Cartographie_Solutions_par_Resultats_par_Sujet[Total des émissions de la solution Cyber (kgCO2e)])/1000</f>
        <v>0</v>
      </c>
      <c r="F31" s="301">
        <f>_xlfn.XLOOKUP(Tableau6[[#This Row],[Sujet]],Cartographie_des_résultats_externes_par_sujet[Sujet],Cartographie_des_résultats_externes_par_sujet[Total des émissions des services extérieurs (kgCO2e)])/1000</f>
        <v>0</v>
      </c>
      <c r="G31" s="301">
        <f>_xlfn.XLOOKUP(Tableau6[[#This Row],[Sujet]],Cartographie_des_résultats_de_voyage_par_sujet[Sujet],Cartographie_des_résultats_de_voyage_par_sujet[Total des voyages (kgCO2e)])/1000</f>
        <v>668.23728599999993</v>
      </c>
      <c r="H31" s="301">
        <f>_xlfn.XLOOKUP(Tableau6[[#This Row],[Sujet]],Cartographie_des_résultats_non_cyber_par_sujet[Contrôle NIST],Cartographie_des_résultats_non_cyber_par_sujet[Total des émissions de logs et d''antivirus pour les équipements non Cyber (kgCO2e)])/1000</f>
        <v>0</v>
      </c>
    </row>
    <row r="32" spans="1:8" x14ac:dyDescent="0.3">
      <c r="A32" s="88" t="s">
        <v>7</v>
      </c>
      <c r="B32" s="301">
        <f>_xlfn.XLOOKUP(Tableau6[[#This Row],[Sujet]],Cartographie_des_résultats_des_appareils_par_sujet[Sujet],Cartographie_des_résultats_des_appareils_par_sujet[Émissions totales Dispositifs (kgCO2e)])/1000</f>
        <v>0</v>
      </c>
      <c r="C32" s="301">
        <f>_xlfn.XLOOKUP(Tableau6[[#This Row],[Sujet]],Cartographie_des_résultats_du_réseau_par_sujet[Sujet],Cartographie_des_résultats_du_réseau_par_sujet[Émissions des appareils (kgCO2e)])/1000</f>
        <v>0</v>
      </c>
      <c r="D32" s="301">
        <f>_xlfn.XLOOKUP(Tableau6[[#This Row],[Sujet]],Cartographie_Serveurs_par_Resultats_par_Sujet[Sujet],Cartographie_Serveurs_par_Resultats_par_Sujet[Total des émissions des services sur place (kgCO2e)])/1000</f>
        <v>0</v>
      </c>
      <c r="E32" s="301">
        <f>_xlfn.XLOOKUP(Tableau6[[#This Row],[Sujet]],Cartographie_Solutions_par_Resultats_par_Sujet[Sujet],Cartographie_Solutions_par_Resultats_par_Sujet[Total des émissions de la solution Cyber (kgCO2e)])/1000</f>
        <v>0</v>
      </c>
      <c r="F32" s="301">
        <f>_xlfn.XLOOKUP(Tableau6[[#This Row],[Sujet]],Cartographie_des_résultats_externes_par_sujet[Sujet],Cartographie_des_résultats_externes_par_sujet[Total des émissions des services extérieurs (kgCO2e)])/1000</f>
        <v>0</v>
      </c>
      <c r="G32" s="301">
        <f>_xlfn.XLOOKUP(Tableau6[[#This Row],[Sujet]],Cartographie_des_résultats_de_voyage_par_sujet[Sujet],Cartographie_des_résultats_de_voyage_par_sujet[Total des voyages (kgCO2e)])/1000</f>
        <v>0</v>
      </c>
      <c r="H32" s="301">
        <f>_xlfn.XLOOKUP(Tableau6[[#This Row],[Sujet]],Cartographie_des_résultats_non_cyber_par_sujet[Contrôle NIST],Cartographie_des_résultats_non_cyber_par_sujet[Total des émissions de logs et d''antivirus pour les équipements non Cyber (kgCO2e)])/1000</f>
        <v>0</v>
      </c>
    </row>
    <row r="33" spans="1:10" x14ac:dyDescent="0.3">
      <c r="A33" s="88" t="s">
        <v>8</v>
      </c>
      <c r="B33" s="301">
        <f>_xlfn.XLOOKUP(Tableau6[[#This Row],[Sujet]],Cartographie_des_résultats_des_appareils_par_sujet[Sujet],Cartographie_des_résultats_des_appareils_par_sujet[Émissions totales Dispositifs (kgCO2e)])/1000</f>
        <v>0</v>
      </c>
      <c r="C33" s="301">
        <f>_xlfn.XLOOKUP(Tableau6[[#This Row],[Sujet]],Cartographie_des_résultats_du_réseau_par_sujet[Sujet],Cartographie_des_résultats_du_réseau_par_sujet[Émissions des appareils (kgCO2e)])/1000</f>
        <v>0</v>
      </c>
      <c r="D33" s="301">
        <f>_xlfn.XLOOKUP(Tableau6[[#This Row],[Sujet]],Cartographie_Serveurs_par_Resultats_par_Sujet[Sujet],Cartographie_Serveurs_par_Resultats_par_Sujet[Total des émissions des services sur place (kgCO2e)])/1000</f>
        <v>0</v>
      </c>
      <c r="E33" s="301">
        <f>_xlfn.XLOOKUP(Tableau6[[#This Row],[Sujet]],Cartographie_Solutions_par_Resultats_par_Sujet[Sujet],Cartographie_Solutions_par_Resultats_par_Sujet[Total des émissions de la solution Cyber (kgCO2e)])/1000</f>
        <v>0</v>
      </c>
      <c r="F33" s="301">
        <f>_xlfn.XLOOKUP(Tableau6[[#This Row],[Sujet]],Cartographie_des_résultats_externes_par_sujet[Sujet],Cartographie_des_résultats_externes_par_sujet[Total des émissions des services extérieurs (kgCO2e)])/1000</f>
        <v>0</v>
      </c>
      <c r="G33" s="301">
        <f>_xlfn.XLOOKUP(Tableau6[[#This Row],[Sujet]],Cartographie_des_résultats_de_voyage_par_sujet[Sujet],Cartographie_des_résultats_de_voyage_par_sujet[Total des voyages (kgCO2e)])/1000</f>
        <v>0</v>
      </c>
      <c r="H33" s="301">
        <f>_xlfn.XLOOKUP(Tableau6[[#This Row],[Sujet]],Cartographie_des_résultats_non_cyber_par_sujet[Contrôle NIST],Cartographie_des_résultats_non_cyber_par_sujet[Total des émissions de logs et d''antivirus pour les équipements non Cyber (kgCO2e)])/1000</f>
        <v>0</v>
      </c>
    </row>
    <row r="34" spans="1:10" x14ac:dyDescent="0.3">
      <c r="A34" s="88" t="s">
        <v>9</v>
      </c>
      <c r="B34" s="301">
        <f>_xlfn.XLOOKUP(Tableau6[[#This Row],[Sujet]],Cartographie_des_résultats_des_appareils_par_sujet[Sujet],Cartographie_des_résultats_des_appareils_par_sujet[Émissions totales Dispositifs (kgCO2e)])/1000</f>
        <v>0</v>
      </c>
      <c r="C34" s="301">
        <f>_xlfn.XLOOKUP(Tableau6[[#This Row],[Sujet]],Cartographie_des_résultats_du_réseau_par_sujet[Sujet],Cartographie_des_résultats_du_réseau_par_sujet[Émissions des appareils (kgCO2e)])/1000</f>
        <v>34.466492434285712</v>
      </c>
      <c r="D34" s="301">
        <f>_xlfn.XLOOKUP(Tableau6[[#This Row],[Sujet]],Cartographie_Serveurs_par_Resultats_par_Sujet[Sujet],Cartographie_Serveurs_par_Resultats_par_Sujet[Total des émissions des services sur place (kgCO2e)])/1000</f>
        <v>0</v>
      </c>
      <c r="E34" s="301">
        <f>_xlfn.XLOOKUP(Tableau6[[#This Row],[Sujet]],Cartographie_Solutions_par_Resultats_par_Sujet[Sujet],Cartographie_Solutions_par_Resultats_par_Sujet[Total des émissions de la solution Cyber (kgCO2e)])/1000</f>
        <v>1223.269311</v>
      </c>
      <c r="F34" s="301">
        <f>_xlfn.XLOOKUP(Tableau6[[#This Row],[Sujet]],Cartographie_des_résultats_externes_par_sujet[Sujet],Cartographie_des_résultats_externes_par_sujet[Total des émissions des services extérieurs (kgCO2e)])/1000</f>
        <v>15.470355135921537</v>
      </c>
      <c r="G34" s="301">
        <f>_xlfn.XLOOKUP(Tableau6[[#This Row],[Sujet]],Cartographie_des_résultats_de_voyage_par_sujet[Sujet],Cartographie_des_résultats_de_voyage_par_sujet[Total des voyages (kgCO2e)])/1000</f>
        <v>0</v>
      </c>
      <c r="H34" s="301">
        <f>_xlfn.XLOOKUP(Tableau6[[#This Row],[Sujet]],Cartographie_des_résultats_non_cyber_par_sujet[Contrôle NIST],Cartographie_des_résultats_non_cyber_par_sujet[Total des émissions de logs et d''antivirus pour les équipements non Cyber (kgCO2e)])/1000</f>
        <v>0</v>
      </c>
    </row>
    <row r="35" spans="1:10" x14ac:dyDescent="0.3">
      <c r="A35" s="88" t="s">
        <v>10</v>
      </c>
      <c r="B35" s="301">
        <f>_xlfn.XLOOKUP(Tableau6[[#This Row],[Sujet]],Cartographie_des_résultats_des_appareils_par_sujet[Sujet],Cartographie_des_résultats_des_appareils_par_sujet[Émissions totales Dispositifs (kgCO2e)])/1000</f>
        <v>0</v>
      </c>
      <c r="C35" s="301">
        <f>_xlfn.XLOOKUP(Tableau6[[#This Row],[Sujet]],Cartographie_des_résultats_du_réseau_par_sujet[Sujet],Cartographie_des_résultats_du_réseau_par_sujet[Émissions des appareils (kgCO2e)])/1000</f>
        <v>0</v>
      </c>
      <c r="D35" s="301">
        <f>_xlfn.XLOOKUP(Tableau6[[#This Row],[Sujet]],Cartographie_Serveurs_par_Resultats_par_Sujet[Sujet],Cartographie_Serveurs_par_Resultats_par_Sujet[Total des émissions des services sur place (kgCO2e)])/1000</f>
        <v>0</v>
      </c>
      <c r="E35" s="301">
        <f>_xlfn.XLOOKUP(Tableau6[[#This Row],[Sujet]],Cartographie_Solutions_par_Resultats_par_Sujet[Sujet],Cartographie_Solutions_par_Resultats_par_Sujet[Total des émissions de la solution Cyber (kgCO2e)])/1000</f>
        <v>0</v>
      </c>
      <c r="F35" s="301">
        <f>_xlfn.XLOOKUP(Tableau6[[#This Row],[Sujet]],Cartographie_des_résultats_externes_par_sujet[Sujet],Cartographie_des_résultats_externes_par_sujet[Total des émissions des services extérieurs (kgCO2e)])/1000</f>
        <v>0</v>
      </c>
      <c r="G35" s="301">
        <f>_xlfn.XLOOKUP(Tableau6[[#This Row],[Sujet]],Cartographie_des_résultats_de_voyage_par_sujet[Sujet],Cartographie_des_résultats_de_voyage_par_sujet[Total des voyages (kgCO2e)])/1000</f>
        <v>0</v>
      </c>
      <c r="H35" s="301">
        <f>_xlfn.XLOOKUP(Tableau6[[#This Row],[Sujet]],Cartographie_des_résultats_non_cyber_par_sujet[Contrôle NIST],Cartographie_des_résultats_non_cyber_par_sujet[Total des émissions de logs et d''antivirus pour les équipements non Cyber (kgCO2e)])/1000</f>
        <v>24.349917117249998</v>
      </c>
    </row>
    <row r="36" spans="1:10" x14ac:dyDescent="0.3">
      <c r="A36" s="88" t="s">
        <v>11</v>
      </c>
      <c r="B36" s="301">
        <f>_xlfn.XLOOKUP(Tableau6[[#This Row],[Sujet]],Cartographie_des_résultats_des_appareils_par_sujet[Sujet],Cartographie_des_résultats_des_appareils_par_sujet[Émissions totales Dispositifs (kgCO2e)])/1000</f>
        <v>0.24107360950000004</v>
      </c>
      <c r="C36" s="301">
        <f>_xlfn.XLOOKUP(Tableau6[[#This Row],[Sujet]],Cartographie_des_résultats_du_réseau_par_sujet[Sujet],Cartographie_des_résultats_du_réseau_par_sujet[Émissions des appareils (kgCO2e)])/1000</f>
        <v>0</v>
      </c>
      <c r="D36" s="301">
        <f>_xlfn.XLOOKUP(Tableau6[[#This Row],[Sujet]],Cartographie_Serveurs_par_Resultats_par_Sujet[Sujet],Cartographie_Serveurs_par_Resultats_par_Sujet[Total des émissions des services sur place (kgCO2e)])/1000</f>
        <v>19.137024446195554</v>
      </c>
      <c r="E36" s="301">
        <f>_xlfn.XLOOKUP(Tableau6[[#This Row],[Sujet]],Cartographie_Solutions_par_Resultats_par_Sujet[Sujet],Cartographie_Solutions_par_Resultats_par_Sujet[Total des émissions de la solution Cyber (kgCO2e)])/1000</f>
        <v>0</v>
      </c>
      <c r="F36" s="301">
        <f>_xlfn.XLOOKUP(Tableau6[[#This Row],[Sujet]],Cartographie_des_résultats_externes_par_sujet[Sujet],Cartographie_des_résultats_externes_par_sujet[Total des émissions des services extérieurs (kgCO2e)])/1000</f>
        <v>0</v>
      </c>
      <c r="G36" s="301">
        <f>_xlfn.XLOOKUP(Tableau6[[#This Row],[Sujet]],Cartographie_des_résultats_de_voyage_par_sujet[Sujet],Cartographie_des_résultats_de_voyage_par_sujet[Total des voyages (kgCO2e)])/1000</f>
        <v>0</v>
      </c>
      <c r="H36" s="301">
        <f>_xlfn.XLOOKUP(Tableau6[[#This Row],[Sujet]],Cartographie_des_résultats_non_cyber_par_sujet[Contrôle NIST],Cartographie_des_résultats_non_cyber_par_sujet[Total des émissions de logs et d''antivirus pour les équipements non Cyber (kgCO2e)])/1000</f>
        <v>0</v>
      </c>
    </row>
    <row r="37" spans="1:10" x14ac:dyDescent="0.3">
      <c r="A37" s="88" t="s">
        <v>12</v>
      </c>
      <c r="B37" s="301">
        <f>_xlfn.XLOOKUP(Tableau6[[#This Row],[Sujet]],Cartographie_des_résultats_des_appareils_par_sujet[Sujet],Cartographie_des_résultats_des_appareils_par_sujet[Émissions totales Dispositifs (kgCO2e)])/1000</f>
        <v>0</v>
      </c>
      <c r="C37" s="301">
        <f>_xlfn.XLOOKUP(Tableau6[[#This Row],[Sujet]],Cartographie_des_résultats_du_réseau_par_sujet[Sujet],Cartographie_des_résultats_du_réseau_par_sujet[Émissions des appareils (kgCO2e)])/1000</f>
        <v>0</v>
      </c>
      <c r="D37" s="301">
        <f>_xlfn.XLOOKUP(Tableau6[[#This Row],[Sujet]],Cartographie_Serveurs_par_Resultats_par_Sujet[Sujet],Cartographie_Serveurs_par_Resultats_par_Sujet[Total des émissions des services sur place (kgCO2e)])/1000</f>
        <v>0</v>
      </c>
      <c r="E37" s="301">
        <f>_xlfn.XLOOKUP(Tableau6[[#This Row],[Sujet]],Cartographie_Solutions_par_Resultats_par_Sujet[Sujet],Cartographie_Solutions_par_Resultats_par_Sujet[Total des émissions de la solution Cyber (kgCO2e)])/1000</f>
        <v>0</v>
      </c>
      <c r="F37" s="301">
        <f>_xlfn.XLOOKUP(Tableau6[[#This Row],[Sujet]],Cartographie_des_résultats_externes_par_sujet[Sujet],Cartographie_des_résultats_externes_par_sujet[Total des émissions des services extérieurs (kgCO2e)])/1000</f>
        <v>0.31970883174120279</v>
      </c>
      <c r="G37" s="301">
        <f>_xlfn.XLOOKUP(Tableau6[[#This Row],[Sujet]],Cartographie_des_résultats_de_voyage_par_sujet[Sujet],Cartographie_des_résultats_de_voyage_par_sujet[Total des voyages (kgCO2e)])/1000</f>
        <v>0</v>
      </c>
      <c r="H37" s="301">
        <f>_xlfn.XLOOKUP(Tableau6[[#This Row],[Sujet]],Cartographie_des_résultats_non_cyber_par_sujet[Contrôle NIST],Cartographie_des_résultats_non_cyber_par_sujet[Total des émissions de logs et d''antivirus pour les équipements non Cyber (kgCO2e)])/1000</f>
        <v>0</v>
      </c>
    </row>
    <row r="38" spans="1:10" x14ac:dyDescent="0.3">
      <c r="A38" s="297" t="s">
        <v>13</v>
      </c>
      <c r="B38" s="301">
        <f>_xlfn.XLOOKUP(Tableau6[[#This Row],[Sujet]],Cartographie_des_résultats_des_appareils_par_sujet[Sujet],Cartographie_des_résultats_des_appareils_par_sujet[Émissions totales Dispositifs (kgCO2e)])/1000</f>
        <v>0</v>
      </c>
      <c r="C38" s="301">
        <f>_xlfn.XLOOKUP(Tableau6[[#This Row],[Sujet]],Cartographie_des_résultats_du_réseau_par_sujet[Sujet],Cartographie_des_résultats_du_réseau_par_sujet[Émissions des appareils (kgCO2e)])/1000</f>
        <v>0</v>
      </c>
      <c r="D38" s="301">
        <f>_xlfn.XLOOKUP(Tableau6[[#This Row],[Sujet]],Cartographie_Serveurs_par_Resultats_par_Sujet[Sujet],Cartographie_Serveurs_par_Resultats_par_Sujet[Total des émissions des services sur place (kgCO2e)])/1000</f>
        <v>0</v>
      </c>
      <c r="E38" s="301">
        <f>_xlfn.XLOOKUP(Tableau6[[#This Row],[Sujet]],Cartographie_Solutions_par_Resultats_par_Sujet[Sujet],Cartographie_Solutions_par_Resultats_par_Sujet[Total des émissions de la solution Cyber (kgCO2e)])/1000</f>
        <v>1595.5686659999999</v>
      </c>
      <c r="F38" s="301">
        <f>_xlfn.XLOOKUP(Tableau6[[#This Row],[Sujet]],Cartographie_des_résultats_externes_par_sujet[Sujet],Cartographie_des_résultats_externes_par_sujet[Total des émissions des services extérieurs (kgCO2e)])/1000</f>
        <v>368.14999331103951</v>
      </c>
      <c r="G38" s="301">
        <f>_xlfn.XLOOKUP(Tableau6[[#This Row],[Sujet]],Cartographie_des_résultats_de_voyage_par_sujet[Sujet],Cartographie_des_résultats_de_voyage_par_sujet[Total des voyages (kgCO2e)])/1000</f>
        <v>0</v>
      </c>
      <c r="H38" s="301">
        <f>_xlfn.XLOOKUP(Tableau6[[#This Row],[Sujet]],Cartographie_des_résultats_non_cyber_par_sujet[Contrôle NIST],Cartographie_des_résultats_non_cyber_par_sujet[Total des émissions de logs et d''antivirus pour les équipements non Cyber (kgCO2e)])/1000</f>
        <v>0</v>
      </c>
    </row>
    <row r="42" spans="1:10" x14ac:dyDescent="0.3">
      <c r="A42" s="304" t="s">
        <v>417</v>
      </c>
      <c r="B42" s="304" t="s">
        <v>423</v>
      </c>
      <c r="C42" s="304" t="s">
        <v>188</v>
      </c>
    </row>
    <row r="43" spans="1:10" x14ac:dyDescent="0.3">
      <c r="A43" s="88" t="s">
        <v>0</v>
      </c>
      <c r="B43" t="str">
        <f>Tableau6[[#Headers],[Dispositifs Cyber]]</f>
        <v>Dispositifs Cyber</v>
      </c>
      <c r="C43" s="301">
        <f>$B$25</f>
        <v>0</v>
      </c>
      <c r="D43" s="301"/>
      <c r="E43" s="301"/>
      <c r="F43" s="301"/>
      <c r="G43" s="301"/>
      <c r="H43" s="301"/>
      <c r="I43" s="301"/>
      <c r="J43" s="301"/>
    </row>
    <row r="44" spans="1:10" x14ac:dyDescent="0.3">
      <c r="A44" s="88" t="s">
        <v>0</v>
      </c>
      <c r="B44" t="str">
        <f>Tableau6[[#Headers],[Réseau]]</f>
        <v>Réseau</v>
      </c>
      <c r="C44" s="301">
        <f>$C$25</f>
        <v>0</v>
      </c>
    </row>
    <row r="45" spans="1:10" x14ac:dyDescent="0.3">
      <c r="A45" s="88" t="s">
        <v>0</v>
      </c>
      <c r="B45" t="str">
        <f>Tableau6[[#Headers],[Serveurs de sauvegarde]]</f>
        <v>Serveurs de sauvegarde</v>
      </c>
      <c r="C45" s="301">
        <f>$D$25</f>
        <v>0</v>
      </c>
    </row>
    <row r="46" spans="1:10" x14ac:dyDescent="0.3">
      <c r="A46" s="88" t="s">
        <v>0</v>
      </c>
      <c r="B46" t="str">
        <f>Tableau6[[#Headers],[ Infrastructure des logiciels Cyber]]</f>
        <v xml:space="preserve"> Infrastructure des logiciels Cyber</v>
      </c>
      <c r="C46" s="301">
        <f>$E$25</f>
        <v>0</v>
      </c>
    </row>
    <row r="47" spans="1:10" x14ac:dyDescent="0.3">
      <c r="A47" s="88" t="s">
        <v>0</v>
      </c>
      <c r="B47" t="str">
        <f>Tableau6[[#Headers],[Services externes]]</f>
        <v>Services externes</v>
      </c>
      <c r="C47" s="301">
        <f>$F$25</f>
        <v>0</v>
      </c>
    </row>
    <row r="48" spans="1:10" x14ac:dyDescent="0.3">
      <c r="A48" s="88" t="s">
        <v>0</v>
      </c>
      <c r="B48" t="str">
        <f>Tableau6[[#Headers],[Voyage]]</f>
        <v>Voyage</v>
      </c>
      <c r="C48" s="301">
        <f>$G$25</f>
        <v>0</v>
      </c>
    </row>
    <row r="49" spans="1:3" x14ac:dyDescent="0.3">
      <c r="A49" s="88" t="s">
        <v>0</v>
      </c>
      <c r="B49" t="str">
        <f>Tableau6[[#Headers],[Equipements Non-Cyber]]</f>
        <v>Equipements Non-Cyber</v>
      </c>
      <c r="C49" s="301">
        <f>$H$25</f>
        <v>0</v>
      </c>
    </row>
    <row r="50" spans="1:3" x14ac:dyDescent="0.3">
      <c r="A50" s="88" t="s">
        <v>1</v>
      </c>
      <c r="B50" t="str">
        <f>Tableau6[[#Headers],[Dispositifs Cyber]]</f>
        <v>Dispositifs Cyber</v>
      </c>
      <c r="C50" s="301">
        <f>$B$26</f>
        <v>0</v>
      </c>
    </row>
    <row r="51" spans="1:3" x14ac:dyDescent="0.3">
      <c r="A51" s="88" t="s">
        <v>1</v>
      </c>
      <c r="B51" t="str">
        <f>Tableau6[[#Headers],[Réseau]]</f>
        <v>Réseau</v>
      </c>
      <c r="C51" s="301">
        <f>$C$26</f>
        <v>0</v>
      </c>
    </row>
    <row r="52" spans="1:3" x14ac:dyDescent="0.3">
      <c r="A52" s="88" t="s">
        <v>1</v>
      </c>
      <c r="B52" t="str">
        <f>Tableau6[[#Headers],[Serveurs de sauvegarde]]</f>
        <v>Serveurs de sauvegarde</v>
      </c>
      <c r="C52" s="301">
        <f>$D$26</f>
        <v>0</v>
      </c>
    </row>
    <row r="53" spans="1:3" x14ac:dyDescent="0.3">
      <c r="A53" s="88" t="s">
        <v>1</v>
      </c>
      <c r="B53" t="str">
        <f>Tableau6[[#Headers],[ Infrastructure des logiciels Cyber]]</f>
        <v xml:space="preserve"> Infrastructure des logiciels Cyber</v>
      </c>
      <c r="C53" s="301">
        <f>$E$26</f>
        <v>1615.2009471719625</v>
      </c>
    </row>
    <row r="54" spans="1:3" x14ac:dyDescent="0.3">
      <c r="A54" s="88" t="s">
        <v>1</v>
      </c>
      <c r="B54" t="str">
        <f>Tableau6[[#Headers],[Services externes]]</f>
        <v>Services externes</v>
      </c>
      <c r="C54" s="301">
        <f>$F$26</f>
        <v>7.4418396597186014</v>
      </c>
    </row>
    <row r="55" spans="1:3" x14ac:dyDescent="0.3">
      <c r="A55" s="88" t="s">
        <v>1</v>
      </c>
      <c r="B55" t="str">
        <f>Tableau6[[#Headers],[Voyage]]</f>
        <v>Voyage</v>
      </c>
      <c r="C55" s="301">
        <f>$G$26</f>
        <v>0</v>
      </c>
    </row>
    <row r="56" spans="1:3" x14ac:dyDescent="0.3">
      <c r="A56" s="88" t="s">
        <v>1</v>
      </c>
      <c r="B56" t="str">
        <f>Tableau6[[#Headers],[Equipements Non-Cyber]]</f>
        <v>Equipements Non-Cyber</v>
      </c>
      <c r="C56" s="301">
        <f>$H$26</f>
        <v>0</v>
      </c>
    </row>
    <row r="57" spans="1:3" x14ac:dyDescent="0.3">
      <c r="A57" s="88" t="s">
        <v>2</v>
      </c>
      <c r="B57" t="str">
        <f>Tableau6[[#Headers],[Dispositifs Cyber]]</f>
        <v>Dispositifs Cyber</v>
      </c>
      <c r="C57" s="301">
        <f>$B$27</f>
        <v>0</v>
      </c>
    </row>
    <row r="58" spans="1:3" x14ac:dyDescent="0.3">
      <c r="A58" s="88" t="s">
        <v>2</v>
      </c>
      <c r="B58" t="str">
        <f>Tableau6[[#Headers],[Réseau]]</f>
        <v>Réseau</v>
      </c>
      <c r="C58" s="301">
        <f>$C$27</f>
        <v>0</v>
      </c>
    </row>
    <row r="59" spans="1:3" x14ac:dyDescent="0.3">
      <c r="A59" s="88" t="s">
        <v>2</v>
      </c>
      <c r="B59" t="str">
        <f>Tableau6[[#Headers],[Serveurs de sauvegarde]]</f>
        <v>Serveurs de sauvegarde</v>
      </c>
      <c r="C59" s="301">
        <f>$D$27</f>
        <v>0</v>
      </c>
    </row>
    <row r="60" spans="1:3" x14ac:dyDescent="0.3">
      <c r="A60" s="88" t="s">
        <v>2</v>
      </c>
      <c r="B60" t="str">
        <f>Tableau6[[#Headers],[ Infrastructure des logiciels Cyber]]</f>
        <v xml:space="preserve"> Infrastructure des logiciels Cyber</v>
      </c>
      <c r="C60" s="301">
        <f>$E$27</f>
        <v>0</v>
      </c>
    </row>
    <row r="61" spans="1:3" x14ac:dyDescent="0.3">
      <c r="A61" s="88" t="s">
        <v>2</v>
      </c>
      <c r="B61" t="str">
        <f>Tableau6[[#Headers],[Services externes]]</f>
        <v>Services externes</v>
      </c>
      <c r="C61" s="301">
        <f>$F$27</f>
        <v>0</v>
      </c>
    </row>
    <row r="62" spans="1:3" x14ac:dyDescent="0.3">
      <c r="A62" s="88" t="s">
        <v>2</v>
      </c>
      <c r="B62" t="str">
        <f>Tableau6[[#Headers],[Voyage]]</f>
        <v>Voyage</v>
      </c>
      <c r="C62" s="301">
        <f>$G$27</f>
        <v>0</v>
      </c>
    </row>
    <row r="63" spans="1:3" x14ac:dyDescent="0.3">
      <c r="A63" s="88" t="s">
        <v>2</v>
      </c>
      <c r="B63" t="str">
        <f>Tableau6[[#Headers],[Equipements Non-Cyber]]</f>
        <v>Equipements Non-Cyber</v>
      </c>
      <c r="C63" s="301">
        <f>$H$27</f>
        <v>0</v>
      </c>
    </row>
    <row r="64" spans="1:3" x14ac:dyDescent="0.3">
      <c r="A64" s="88" t="s">
        <v>3</v>
      </c>
      <c r="B64" t="str">
        <f>Tableau6[[#Headers],[Dispositifs Cyber]]</f>
        <v>Dispositifs Cyber</v>
      </c>
      <c r="C64" s="301">
        <f>$B$28</f>
        <v>0</v>
      </c>
    </row>
    <row r="65" spans="1:3" x14ac:dyDescent="0.3">
      <c r="A65" s="88" t="s">
        <v>3</v>
      </c>
      <c r="B65" t="str">
        <f>Tableau6[[#Headers],[Réseau]]</f>
        <v>Réseau</v>
      </c>
      <c r="C65" s="301">
        <f>$C$28</f>
        <v>0</v>
      </c>
    </row>
    <row r="66" spans="1:3" x14ac:dyDescent="0.3">
      <c r="A66" s="88" t="s">
        <v>3</v>
      </c>
      <c r="B66" t="str">
        <f>Tableau6[[#Headers],[Serveurs de sauvegarde]]</f>
        <v>Serveurs de sauvegarde</v>
      </c>
      <c r="C66" s="301">
        <f>$D$28</f>
        <v>0</v>
      </c>
    </row>
    <row r="67" spans="1:3" x14ac:dyDescent="0.3">
      <c r="A67" s="88" t="s">
        <v>3</v>
      </c>
      <c r="B67" t="str">
        <f>Tableau6[[#Headers],[ Infrastructure des logiciels Cyber]]</f>
        <v xml:space="preserve"> Infrastructure des logiciels Cyber</v>
      </c>
      <c r="C67" s="301">
        <f>$E$28</f>
        <v>0</v>
      </c>
    </row>
    <row r="68" spans="1:3" x14ac:dyDescent="0.3">
      <c r="A68" s="88" t="s">
        <v>3</v>
      </c>
      <c r="B68" t="str">
        <f>Tableau6[[#Headers],[Services externes]]</f>
        <v>Services externes</v>
      </c>
      <c r="C68" s="301">
        <f>$F$28</f>
        <v>0</v>
      </c>
    </row>
    <row r="69" spans="1:3" x14ac:dyDescent="0.3">
      <c r="A69" s="88" t="s">
        <v>3</v>
      </c>
      <c r="B69" t="str">
        <f>Tableau6[[#Headers],[Voyage]]</f>
        <v>Voyage</v>
      </c>
      <c r="C69" s="301">
        <f>$G$28</f>
        <v>0</v>
      </c>
    </row>
    <row r="70" spans="1:3" x14ac:dyDescent="0.3">
      <c r="A70" s="88" t="s">
        <v>3</v>
      </c>
      <c r="B70" t="str">
        <f>Tableau6[[#Headers],[Equipements Non-Cyber]]</f>
        <v>Equipements Non-Cyber</v>
      </c>
      <c r="C70" s="301">
        <f>$H$28</f>
        <v>0</v>
      </c>
    </row>
    <row r="71" spans="1:3" x14ac:dyDescent="0.3">
      <c r="A71" s="88" t="s">
        <v>4</v>
      </c>
      <c r="B71" t="str">
        <f>Tableau6[[#Headers],[Dispositifs Cyber]]</f>
        <v>Dispositifs Cyber</v>
      </c>
      <c r="C71" s="301">
        <f>$B$29</f>
        <v>0</v>
      </c>
    </row>
    <row r="72" spans="1:3" x14ac:dyDescent="0.3">
      <c r="A72" s="88" t="s">
        <v>4</v>
      </c>
      <c r="B72" t="str">
        <f>Tableau6[[#Headers],[Réseau]]</f>
        <v>Réseau</v>
      </c>
      <c r="C72" s="301">
        <f>$C$29</f>
        <v>15.972790834285716</v>
      </c>
    </row>
    <row r="73" spans="1:3" x14ac:dyDescent="0.3">
      <c r="A73" s="88" t="s">
        <v>4</v>
      </c>
      <c r="B73" t="str">
        <f>Tableau6[[#Headers],[Serveurs de sauvegarde]]</f>
        <v>Serveurs de sauvegarde</v>
      </c>
      <c r="C73" s="301">
        <f>$D$29</f>
        <v>0</v>
      </c>
    </row>
    <row r="74" spans="1:3" x14ac:dyDescent="0.3">
      <c r="A74" s="88" t="s">
        <v>4</v>
      </c>
      <c r="B74" t="str">
        <f>Tableau6[[#Headers],[ Infrastructure des logiciels Cyber]]</f>
        <v xml:space="preserve"> Infrastructure des logiciels Cyber</v>
      </c>
      <c r="C74" s="301">
        <f>$E$29</f>
        <v>0</v>
      </c>
    </row>
    <row r="75" spans="1:3" x14ac:dyDescent="0.3">
      <c r="A75" s="88" t="s">
        <v>4</v>
      </c>
      <c r="B75" t="str">
        <f>Tableau6[[#Headers],[Services externes]]</f>
        <v>Services externes</v>
      </c>
      <c r="C75" s="301">
        <f>$F$29</f>
        <v>0</v>
      </c>
    </row>
    <row r="76" spans="1:3" x14ac:dyDescent="0.3">
      <c r="A76" s="88" t="s">
        <v>4</v>
      </c>
      <c r="B76" t="str">
        <f>Tableau6[[#Headers],[Voyage]]</f>
        <v>Voyage</v>
      </c>
      <c r="C76" s="301">
        <f>$G$29</f>
        <v>0</v>
      </c>
    </row>
    <row r="77" spans="1:3" x14ac:dyDescent="0.3">
      <c r="A77" s="88" t="s">
        <v>4</v>
      </c>
      <c r="B77" t="str">
        <f>Tableau6[[#Headers],[Equipements Non-Cyber]]</f>
        <v>Equipements Non-Cyber</v>
      </c>
      <c r="C77" s="301">
        <f>$H$29</f>
        <v>8.1166390390833332</v>
      </c>
    </row>
    <row r="78" spans="1:3" x14ac:dyDescent="0.3">
      <c r="A78" s="88" t="s">
        <v>5</v>
      </c>
      <c r="B78" t="str">
        <f>Tableau6[[#Headers],[Dispositifs Cyber]]</f>
        <v>Dispositifs Cyber</v>
      </c>
      <c r="C78" s="301">
        <f>$B$30</f>
        <v>1.5960111374999999</v>
      </c>
    </row>
    <row r="79" spans="1:3" x14ac:dyDescent="0.3">
      <c r="A79" s="88" t="s">
        <v>5</v>
      </c>
      <c r="B79" t="str">
        <f>Tableau6[[#Headers],[Réseau]]</f>
        <v>Réseau</v>
      </c>
      <c r="C79" s="301">
        <f>$C$30</f>
        <v>0</v>
      </c>
    </row>
    <row r="80" spans="1:3" x14ac:dyDescent="0.3">
      <c r="A80" s="88" t="s">
        <v>5</v>
      </c>
      <c r="B80" t="str">
        <f>Tableau6[[#Headers],[Serveurs de sauvegarde]]</f>
        <v>Serveurs de sauvegarde</v>
      </c>
      <c r="C80" s="301">
        <f>$D$30</f>
        <v>0</v>
      </c>
    </row>
    <row r="81" spans="1:3" x14ac:dyDescent="0.3">
      <c r="A81" s="88" t="s">
        <v>5</v>
      </c>
      <c r="B81" t="str">
        <f>Tableau6[[#Headers],[ Infrastructure des logiciels Cyber]]</f>
        <v xml:space="preserve"> Infrastructure des logiciels Cyber</v>
      </c>
      <c r="C81" s="301">
        <f>$E$30</f>
        <v>0</v>
      </c>
    </row>
    <row r="82" spans="1:3" x14ac:dyDescent="0.3">
      <c r="A82" s="88" t="s">
        <v>5</v>
      </c>
      <c r="B82" t="str">
        <f>Tableau6[[#Headers],[Services externes]]</f>
        <v>Services externes</v>
      </c>
      <c r="C82" s="301">
        <f>$F$30</f>
        <v>0</v>
      </c>
    </row>
    <row r="83" spans="1:3" x14ac:dyDescent="0.3">
      <c r="A83" s="88" t="s">
        <v>5</v>
      </c>
      <c r="B83" t="str">
        <f>Tableau6[[#Headers],[Voyage]]</f>
        <v>Voyage</v>
      </c>
      <c r="C83" s="301">
        <f>$G$30</f>
        <v>0</v>
      </c>
    </row>
    <row r="84" spans="1:3" x14ac:dyDescent="0.3">
      <c r="A84" s="88" t="s">
        <v>5</v>
      </c>
      <c r="B84" t="str">
        <f>Tableau6[[#Headers],[Equipements Non-Cyber]]</f>
        <v>Equipements Non-Cyber</v>
      </c>
      <c r="C84" s="301">
        <f>$H$30</f>
        <v>0.61033191900000006</v>
      </c>
    </row>
    <row r="85" spans="1:3" x14ac:dyDescent="0.3">
      <c r="A85" s="88" t="s">
        <v>6</v>
      </c>
      <c r="B85" t="str">
        <f>Tableau6[[#Headers],[Dispositifs Cyber]]</f>
        <v>Dispositifs Cyber</v>
      </c>
      <c r="C85" s="301">
        <f>$B$31</f>
        <v>21.934199041666666</v>
      </c>
    </row>
    <row r="86" spans="1:3" x14ac:dyDescent="0.3">
      <c r="A86" s="88" t="s">
        <v>6</v>
      </c>
      <c r="B86" t="str">
        <f>Tableau6[[#Headers],[Réseau]]</f>
        <v>Réseau</v>
      </c>
      <c r="C86" s="301">
        <f>$C$31</f>
        <v>0</v>
      </c>
    </row>
    <row r="87" spans="1:3" x14ac:dyDescent="0.3">
      <c r="A87" s="88" t="s">
        <v>6</v>
      </c>
      <c r="B87" t="str">
        <f>Tableau6[[#Headers],[Serveurs de sauvegarde]]</f>
        <v>Serveurs de sauvegarde</v>
      </c>
      <c r="C87" s="301">
        <f>$D$31</f>
        <v>0</v>
      </c>
    </row>
    <row r="88" spans="1:3" x14ac:dyDescent="0.3">
      <c r="A88" s="88" t="s">
        <v>6</v>
      </c>
      <c r="B88" t="str">
        <f>Tableau6[[#Headers],[ Infrastructure des logiciels Cyber]]</f>
        <v xml:space="preserve"> Infrastructure des logiciels Cyber</v>
      </c>
      <c r="C88" s="301">
        <f>$E$31</f>
        <v>0</v>
      </c>
    </row>
    <row r="89" spans="1:3" x14ac:dyDescent="0.3">
      <c r="A89" s="88" t="s">
        <v>6</v>
      </c>
      <c r="B89" t="str">
        <f>Tableau6[[#Headers],[Services externes]]</f>
        <v>Services externes</v>
      </c>
      <c r="C89" s="301">
        <f>$F$31</f>
        <v>0</v>
      </c>
    </row>
    <row r="90" spans="1:3" x14ac:dyDescent="0.3">
      <c r="A90" s="88" t="s">
        <v>6</v>
      </c>
      <c r="B90" t="str">
        <f>Tableau6[[#Headers],[Voyage]]</f>
        <v>Voyage</v>
      </c>
      <c r="C90" s="301">
        <f>$G$31</f>
        <v>668.23728599999993</v>
      </c>
    </row>
    <row r="91" spans="1:3" x14ac:dyDescent="0.3">
      <c r="A91" s="88" t="s">
        <v>6</v>
      </c>
      <c r="B91" t="str">
        <f>Tableau6[[#Headers],[Equipements Non-Cyber]]</f>
        <v>Equipements Non-Cyber</v>
      </c>
      <c r="C91" s="301">
        <f>$H$31</f>
        <v>0</v>
      </c>
    </row>
    <row r="92" spans="1:3" x14ac:dyDescent="0.3">
      <c r="A92" s="88" t="s">
        <v>7</v>
      </c>
      <c r="B92" t="str">
        <f>Tableau6[[#Headers],[Dispositifs Cyber]]</f>
        <v>Dispositifs Cyber</v>
      </c>
      <c r="C92" s="301">
        <f>$B$32</f>
        <v>0</v>
      </c>
    </row>
    <row r="93" spans="1:3" x14ac:dyDescent="0.3">
      <c r="A93" s="88" t="s">
        <v>7</v>
      </c>
      <c r="B93" t="str">
        <f>Tableau6[[#Headers],[Réseau]]</f>
        <v>Réseau</v>
      </c>
      <c r="C93" s="301">
        <f>$C$32</f>
        <v>0</v>
      </c>
    </row>
    <row r="94" spans="1:3" x14ac:dyDescent="0.3">
      <c r="A94" s="88" t="s">
        <v>7</v>
      </c>
      <c r="B94" t="str">
        <f>Tableau6[[#Headers],[Serveurs de sauvegarde]]</f>
        <v>Serveurs de sauvegarde</v>
      </c>
      <c r="C94" s="301">
        <f>$D$32</f>
        <v>0</v>
      </c>
    </row>
    <row r="95" spans="1:3" x14ac:dyDescent="0.3">
      <c r="A95" s="88" t="s">
        <v>7</v>
      </c>
      <c r="B95" t="str">
        <f>Tableau6[[#Headers],[ Infrastructure des logiciels Cyber]]</f>
        <v xml:space="preserve"> Infrastructure des logiciels Cyber</v>
      </c>
      <c r="C95" s="301">
        <f>$E$32</f>
        <v>0</v>
      </c>
    </row>
    <row r="96" spans="1:3" x14ac:dyDescent="0.3">
      <c r="A96" s="88" t="s">
        <v>7</v>
      </c>
      <c r="B96" t="str">
        <f>Tableau6[[#Headers],[Services externes]]</f>
        <v>Services externes</v>
      </c>
      <c r="C96" s="301">
        <f>$F$32</f>
        <v>0</v>
      </c>
    </row>
    <row r="97" spans="1:3" x14ac:dyDescent="0.3">
      <c r="A97" s="88" t="s">
        <v>7</v>
      </c>
      <c r="B97" t="str">
        <f>Tableau6[[#Headers],[Voyage]]</f>
        <v>Voyage</v>
      </c>
      <c r="C97" s="301">
        <f>$G$32</f>
        <v>0</v>
      </c>
    </row>
    <row r="98" spans="1:3" x14ac:dyDescent="0.3">
      <c r="A98" s="88" t="s">
        <v>7</v>
      </c>
      <c r="B98" t="str">
        <f>Tableau6[[#Headers],[Equipements Non-Cyber]]</f>
        <v>Equipements Non-Cyber</v>
      </c>
      <c r="C98" s="301">
        <f>$H$32</f>
        <v>0</v>
      </c>
    </row>
    <row r="99" spans="1:3" x14ac:dyDescent="0.3">
      <c r="A99" s="88" t="s">
        <v>8</v>
      </c>
      <c r="B99" t="str">
        <f>Tableau6[[#Headers],[Dispositifs Cyber]]</f>
        <v>Dispositifs Cyber</v>
      </c>
      <c r="C99" s="301">
        <f>$B$33</f>
        <v>0</v>
      </c>
    </row>
    <row r="100" spans="1:3" x14ac:dyDescent="0.3">
      <c r="A100" s="88" t="s">
        <v>8</v>
      </c>
      <c r="B100" t="str">
        <f>Tableau6[[#Headers],[Réseau]]</f>
        <v>Réseau</v>
      </c>
      <c r="C100" s="301">
        <f>$C$33</f>
        <v>0</v>
      </c>
    </row>
    <row r="101" spans="1:3" x14ac:dyDescent="0.3">
      <c r="A101" s="88" t="s">
        <v>8</v>
      </c>
      <c r="B101" t="str">
        <f>Tableau6[[#Headers],[Serveurs de sauvegarde]]</f>
        <v>Serveurs de sauvegarde</v>
      </c>
      <c r="C101" s="301">
        <f>$D$33</f>
        <v>0</v>
      </c>
    </row>
    <row r="102" spans="1:3" x14ac:dyDescent="0.3">
      <c r="A102" s="88" t="s">
        <v>8</v>
      </c>
      <c r="B102" t="str">
        <f>Tableau6[[#Headers],[ Infrastructure des logiciels Cyber]]</f>
        <v xml:space="preserve"> Infrastructure des logiciels Cyber</v>
      </c>
      <c r="C102" s="301">
        <f>$E$33</f>
        <v>0</v>
      </c>
    </row>
    <row r="103" spans="1:3" x14ac:dyDescent="0.3">
      <c r="A103" s="88" t="s">
        <v>8</v>
      </c>
      <c r="B103" t="str">
        <f>Tableau6[[#Headers],[Services externes]]</f>
        <v>Services externes</v>
      </c>
      <c r="C103" s="301">
        <f>$F$33</f>
        <v>0</v>
      </c>
    </row>
    <row r="104" spans="1:3" x14ac:dyDescent="0.3">
      <c r="A104" s="88" t="s">
        <v>8</v>
      </c>
      <c r="B104" t="str">
        <f>Tableau6[[#Headers],[Voyage]]</f>
        <v>Voyage</v>
      </c>
      <c r="C104" s="301">
        <f>$G$33</f>
        <v>0</v>
      </c>
    </row>
    <row r="105" spans="1:3" x14ac:dyDescent="0.3">
      <c r="A105" s="88" t="s">
        <v>8</v>
      </c>
      <c r="B105" t="str">
        <f>Tableau6[[#Headers],[Equipements Non-Cyber]]</f>
        <v>Equipements Non-Cyber</v>
      </c>
      <c r="C105" s="301">
        <f>$H$33</f>
        <v>0</v>
      </c>
    </row>
    <row r="106" spans="1:3" x14ac:dyDescent="0.3">
      <c r="A106" s="88" t="s">
        <v>9</v>
      </c>
      <c r="B106" t="str">
        <f>Tableau6[[#Headers],[Dispositifs Cyber]]</f>
        <v>Dispositifs Cyber</v>
      </c>
      <c r="C106" s="301">
        <f>$B$34</f>
        <v>0</v>
      </c>
    </row>
    <row r="107" spans="1:3" x14ac:dyDescent="0.3">
      <c r="A107" s="88" t="s">
        <v>9</v>
      </c>
      <c r="B107" t="str">
        <f>Tableau6[[#Headers],[Réseau]]</f>
        <v>Réseau</v>
      </c>
      <c r="C107" s="301">
        <f>$C$34</f>
        <v>34.466492434285712</v>
      </c>
    </row>
    <row r="108" spans="1:3" x14ac:dyDescent="0.3">
      <c r="A108" s="88" t="s">
        <v>9</v>
      </c>
      <c r="B108" t="str">
        <f>Tableau6[[#Headers],[Serveurs de sauvegarde]]</f>
        <v>Serveurs de sauvegarde</v>
      </c>
      <c r="C108" s="301">
        <f>$D$34</f>
        <v>0</v>
      </c>
    </row>
    <row r="109" spans="1:3" x14ac:dyDescent="0.3">
      <c r="A109" s="88" t="s">
        <v>9</v>
      </c>
      <c r="B109" t="str">
        <f>Tableau6[[#Headers],[ Infrastructure des logiciels Cyber]]</f>
        <v xml:space="preserve"> Infrastructure des logiciels Cyber</v>
      </c>
      <c r="C109" s="301">
        <f>$E$34</f>
        <v>1223.269311</v>
      </c>
    </row>
    <row r="110" spans="1:3" x14ac:dyDescent="0.3">
      <c r="A110" s="88" t="s">
        <v>9</v>
      </c>
      <c r="B110" t="str">
        <f>Tableau6[[#Headers],[Services externes]]</f>
        <v>Services externes</v>
      </c>
      <c r="C110" s="301">
        <f>$F$34</f>
        <v>15.470355135921537</v>
      </c>
    </row>
    <row r="111" spans="1:3" x14ac:dyDescent="0.3">
      <c r="A111" s="88" t="s">
        <v>9</v>
      </c>
      <c r="B111" t="str">
        <f>Tableau6[[#Headers],[Voyage]]</f>
        <v>Voyage</v>
      </c>
      <c r="C111" s="301">
        <f>$G$34</f>
        <v>0</v>
      </c>
    </row>
    <row r="112" spans="1:3" x14ac:dyDescent="0.3">
      <c r="A112" s="88" t="s">
        <v>9</v>
      </c>
      <c r="B112" t="str">
        <f>Tableau6[[#Headers],[Equipements Non-Cyber]]</f>
        <v>Equipements Non-Cyber</v>
      </c>
      <c r="C112" s="301">
        <f>$H$34</f>
        <v>0</v>
      </c>
    </row>
    <row r="113" spans="1:3" x14ac:dyDescent="0.3">
      <c r="A113" s="88" t="s">
        <v>10</v>
      </c>
      <c r="B113" t="str">
        <f>Tableau6[[#Headers],[Dispositifs Cyber]]</f>
        <v>Dispositifs Cyber</v>
      </c>
      <c r="C113" s="301">
        <f>$B$35</f>
        <v>0</v>
      </c>
    </row>
    <row r="114" spans="1:3" x14ac:dyDescent="0.3">
      <c r="A114" s="88" t="s">
        <v>10</v>
      </c>
      <c r="B114" t="str">
        <f>Tableau6[[#Headers],[Réseau]]</f>
        <v>Réseau</v>
      </c>
      <c r="C114" s="301">
        <f>$C$35</f>
        <v>0</v>
      </c>
    </row>
    <row r="115" spans="1:3" x14ac:dyDescent="0.3">
      <c r="A115" s="88" t="s">
        <v>10</v>
      </c>
      <c r="B115" t="str">
        <f>Tableau6[[#Headers],[Serveurs de sauvegarde]]</f>
        <v>Serveurs de sauvegarde</v>
      </c>
      <c r="C115" s="301">
        <f>$D$35</f>
        <v>0</v>
      </c>
    </row>
    <row r="116" spans="1:3" x14ac:dyDescent="0.3">
      <c r="A116" s="88" t="s">
        <v>10</v>
      </c>
      <c r="B116" t="str">
        <f>Tableau6[[#Headers],[ Infrastructure des logiciels Cyber]]</f>
        <v xml:space="preserve"> Infrastructure des logiciels Cyber</v>
      </c>
      <c r="C116" s="301">
        <f>$E$35</f>
        <v>0</v>
      </c>
    </row>
    <row r="117" spans="1:3" x14ac:dyDescent="0.3">
      <c r="A117" s="88" t="s">
        <v>10</v>
      </c>
      <c r="B117" t="str">
        <f>Tableau6[[#Headers],[Services externes]]</f>
        <v>Services externes</v>
      </c>
      <c r="C117" s="301">
        <f>$F$35</f>
        <v>0</v>
      </c>
    </row>
    <row r="118" spans="1:3" x14ac:dyDescent="0.3">
      <c r="A118" s="88" t="s">
        <v>10</v>
      </c>
      <c r="B118" t="str">
        <f>Tableau6[[#Headers],[Voyage]]</f>
        <v>Voyage</v>
      </c>
      <c r="C118" s="301">
        <f>$G$35</f>
        <v>0</v>
      </c>
    </row>
    <row r="119" spans="1:3" x14ac:dyDescent="0.3">
      <c r="A119" s="88" t="s">
        <v>10</v>
      </c>
      <c r="B119" t="str">
        <f>Tableau6[[#Headers],[Equipements Non-Cyber]]</f>
        <v>Equipements Non-Cyber</v>
      </c>
      <c r="C119" s="301">
        <f>$H$35</f>
        <v>24.349917117249998</v>
      </c>
    </row>
    <row r="120" spans="1:3" x14ac:dyDescent="0.3">
      <c r="A120" s="88" t="s">
        <v>11</v>
      </c>
      <c r="B120" t="str">
        <f>Tableau6[[#Headers],[Dispositifs Cyber]]</f>
        <v>Dispositifs Cyber</v>
      </c>
      <c r="C120" s="301">
        <f>$B$36</f>
        <v>0.24107360950000004</v>
      </c>
    </row>
    <row r="121" spans="1:3" x14ac:dyDescent="0.3">
      <c r="A121" s="88" t="s">
        <v>11</v>
      </c>
      <c r="B121" t="str">
        <f>Tableau6[[#Headers],[Réseau]]</f>
        <v>Réseau</v>
      </c>
      <c r="C121" s="301">
        <f>$C$36</f>
        <v>0</v>
      </c>
    </row>
    <row r="122" spans="1:3" x14ac:dyDescent="0.3">
      <c r="A122" s="88" t="s">
        <v>11</v>
      </c>
      <c r="B122" t="str">
        <f>Tableau6[[#Headers],[Serveurs de sauvegarde]]</f>
        <v>Serveurs de sauvegarde</v>
      </c>
      <c r="C122" s="301">
        <f>$D$36</f>
        <v>19.137024446195554</v>
      </c>
    </row>
    <row r="123" spans="1:3" x14ac:dyDescent="0.3">
      <c r="A123" s="88" t="s">
        <v>11</v>
      </c>
      <c r="B123" t="str">
        <f>Tableau6[[#Headers],[ Infrastructure des logiciels Cyber]]</f>
        <v xml:space="preserve"> Infrastructure des logiciels Cyber</v>
      </c>
      <c r="C123" s="301">
        <f>$E$36</f>
        <v>0</v>
      </c>
    </row>
    <row r="124" spans="1:3" x14ac:dyDescent="0.3">
      <c r="A124" s="88" t="s">
        <v>11</v>
      </c>
      <c r="B124" t="str">
        <f>Tableau6[[#Headers],[Services externes]]</f>
        <v>Services externes</v>
      </c>
      <c r="C124" s="301">
        <f>$F$36</f>
        <v>0</v>
      </c>
    </row>
    <row r="125" spans="1:3" x14ac:dyDescent="0.3">
      <c r="A125" s="88" t="s">
        <v>11</v>
      </c>
      <c r="B125" t="str">
        <f>Tableau6[[#Headers],[Voyage]]</f>
        <v>Voyage</v>
      </c>
      <c r="C125" s="301">
        <f>$G$36</f>
        <v>0</v>
      </c>
    </row>
    <row r="126" spans="1:3" x14ac:dyDescent="0.3">
      <c r="A126" s="88" t="s">
        <v>11</v>
      </c>
      <c r="B126" t="str">
        <f>Tableau6[[#Headers],[Equipements Non-Cyber]]</f>
        <v>Equipements Non-Cyber</v>
      </c>
      <c r="C126" s="301">
        <f>$H$36</f>
        <v>0</v>
      </c>
    </row>
    <row r="127" spans="1:3" x14ac:dyDescent="0.3">
      <c r="A127" s="88" t="s">
        <v>12</v>
      </c>
      <c r="B127" t="str">
        <f>Tableau6[[#Headers],[Dispositifs Cyber]]</f>
        <v>Dispositifs Cyber</v>
      </c>
      <c r="C127" s="301">
        <f>$B$37</f>
        <v>0</v>
      </c>
    </row>
    <row r="128" spans="1:3" x14ac:dyDescent="0.3">
      <c r="A128" s="88" t="s">
        <v>12</v>
      </c>
      <c r="B128" t="str">
        <f>Tableau6[[#Headers],[Réseau]]</f>
        <v>Réseau</v>
      </c>
      <c r="C128" s="301">
        <f>$C$37</f>
        <v>0</v>
      </c>
    </row>
    <row r="129" spans="1:3" x14ac:dyDescent="0.3">
      <c r="A129" s="88" t="s">
        <v>12</v>
      </c>
      <c r="B129" t="str">
        <f>Tableau6[[#Headers],[Serveurs de sauvegarde]]</f>
        <v>Serveurs de sauvegarde</v>
      </c>
      <c r="C129" s="301">
        <f>$D$37</f>
        <v>0</v>
      </c>
    </row>
    <row r="130" spans="1:3" x14ac:dyDescent="0.3">
      <c r="A130" s="88" t="s">
        <v>12</v>
      </c>
      <c r="B130" t="str">
        <f>Tableau6[[#Headers],[ Infrastructure des logiciels Cyber]]</f>
        <v xml:space="preserve"> Infrastructure des logiciels Cyber</v>
      </c>
      <c r="C130" s="301">
        <f>$E$37</f>
        <v>0</v>
      </c>
    </row>
    <row r="131" spans="1:3" x14ac:dyDescent="0.3">
      <c r="A131" s="88" t="s">
        <v>12</v>
      </c>
      <c r="B131" t="str">
        <f>Tableau6[[#Headers],[Services externes]]</f>
        <v>Services externes</v>
      </c>
      <c r="C131" s="301">
        <f>$F$37</f>
        <v>0.31970883174120279</v>
      </c>
    </row>
    <row r="132" spans="1:3" x14ac:dyDescent="0.3">
      <c r="A132" s="88" t="s">
        <v>12</v>
      </c>
      <c r="B132" t="str">
        <f>Tableau6[[#Headers],[Voyage]]</f>
        <v>Voyage</v>
      </c>
      <c r="C132" s="301">
        <f>$G$37</f>
        <v>0</v>
      </c>
    </row>
    <row r="133" spans="1:3" x14ac:dyDescent="0.3">
      <c r="A133" s="88" t="s">
        <v>12</v>
      </c>
      <c r="B133" t="str">
        <f>Tableau6[[#Headers],[Equipements Non-Cyber]]</f>
        <v>Equipements Non-Cyber</v>
      </c>
      <c r="C133" s="301">
        <f>$H$37</f>
        <v>0</v>
      </c>
    </row>
    <row r="134" spans="1:3" x14ac:dyDescent="0.3">
      <c r="A134" s="297" t="s">
        <v>13</v>
      </c>
      <c r="B134" t="str">
        <f>Tableau6[[#Headers],[Dispositifs Cyber]]</f>
        <v>Dispositifs Cyber</v>
      </c>
      <c r="C134" s="301">
        <f>$B$38</f>
        <v>0</v>
      </c>
    </row>
    <row r="135" spans="1:3" x14ac:dyDescent="0.3">
      <c r="A135" s="297" t="s">
        <v>13</v>
      </c>
      <c r="B135" t="str">
        <f>Tableau6[[#Headers],[Réseau]]</f>
        <v>Réseau</v>
      </c>
      <c r="C135" s="301">
        <f>$C$38</f>
        <v>0</v>
      </c>
    </row>
    <row r="136" spans="1:3" x14ac:dyDescent="0.3">
      <c r="A136" s="297" t="s">
        <v>13</v>
      </c>
      <c r="B136" t="str">
        <f>Tableau6[[#Headers],[Serveurs de sauvegarde]]</f>
        <v>Serveurs de sauvegarde</v>
      </c>
      <c r="C136" s="301">
        <f>$D$38</f>
        <v>0</v>
      </c>
    </row>
    <row r="137" spans="1:3" x14ac:dyDescent="0.3">
      <c r="A137" s="297" t="s">
        <v>13</v>
      </c>
      <c r="B137" t="str">
        <f>Tableau6[[#Headers],[ Infrastructure des logiciels Cyber]]</f>
        <v xml:space="preserve"> Infrastructure des logiciels Cyber</v>
      </c>
      <c r="C137" s="301">
        <f>$E$38</f>
        <v>1595.5686659999999</v>
      </c>
    </row>
    <row r="138" spans="1:3" x14ac:dyDescent="0.3">
      <c r="A138" s="297" t="s">
        <v>13</v>
      </c>
      <c r="B138" t="str">
        <f>Tableau6[[#Headers],[Services externes]]</f>
        <v>Services externes</v>
      </c>
      <c r="C138" s="301">
        <f>$F$38</f>
        <v>368.14999331103951</v>
      </c>
    </row>
    <row r="139" spans="1:3" x14ac:dyDescent="0.3">
      <c r="A139" s="297" t="s">
        <v>13</v>
      </c>
      <c r="B139" t="str">
        <f>Tableau6[[#Headers],[Voyage]]</f>
        <v>Voyage</v>
      </c>
      <c r="C139" s="301">
        <f>$G$38</f>
        <v>0</v>
      </c>
    </row>
    <row r="140" spans="1:3" x14ac:dyDescent="0.3">
      <c r="A140" s="297" t="s">
        <v>13</v>
      </c>
      <c r="B140" t="str">
        <f>Tableau6[[#Headers],[Equipements Non-Cyber]]</f>
        <v>Equipements Non-Cyber</v>
      </c>
      <c r="C140" s="301">
        <f>$H$38</f>
        <v>0</v>
      </c>
    </row>
    <row r="143" spans="1:3" x14ac:dyDescent="0.3">
      <c r="A143" s="304" t="s">
        <v>423</v>
      </c>
      <c r="B143" s="304" t="s">
        <v>417</v>
      </c>
      <c r="C143" s="304" t="s">
        <v>188</v>
      </c>
    </row>
    <row r="144" spans="1:3" x14ac:dyDescent="0.3">
      <c r="A144" s="298" t="str">
        <f>Tableau6[[#Headers],[Dispositifs Cyber]]</f>
        <v>Dispositifs Cyber</v>
      </c>
      <c r="B144" s="88" t="s">
        <v>0</v>
      </c>
      <c r="C144" s="301">
        <f>$B$25</f>
        <v>0</v>
      </c>
    </row>
    <row r="145" spans="1:3" x14ac:dyDescent="0.3">
      <c r="A145" s="298" t="str">
        <f>Tableau6[[#Headers],[Dispositifs Cyber]]</f>
        <v>Dispositifs Cyber</v>
      </c>
      <c r="B145" s="88" t="s">
        <v>1</v>
      </c>
      <c r="C145" s="301">
        <f>$B$26</f>
        <v>0</v>
      </c>
    </row>
    <row r="146" spans="1:3" x14ac:dyDescent="0.3">
      <c r="A146" s="298" t="str">
        <f>Tableau6[[#Headers],[Dispositifs Cyber]]</f>
        <v>Dispositifs Cyber</v>
      </c>
      <c r="B146" s="88" t="s">
        <v>2</v>
      </c>
      <c r="C146" s="301">
        <f>$B$27</f>
        <v>0</v>
      </c>
    </row>
    <row r="147" spans="1:3" x14ac:dyDescent="0.3">
      <c r="A147" s="298" t="str">
        <f>Tableau6[[#Headers],[Dispositifs Cyber]]</f>
        <v>Dispositifs Cyber</v>
      </c>
      <c r="B147" s="88" t="s">
        <v>3</v>
      </c>
      <c r="C147" s="301">
        <f>$B$28</f>
        <v>0</v>
      </c>
    </row>
    <row r="148" spans="1:3" x14ac:dyDescent="0.3">
      <c r="A148" s="298" t="str">
        <f>Tableau6[[#Headers],[Dispositifs Cyber]]</f>
        <v>Dispositifs Cyber</v>
      </c>
      <c r="B148" s="88" t="s">
        <v>4</v>
      </c>
      <c r="C148" s="301">
        <f>$B$29</f>
        <v>0</v>
      </c>
    </row>
    <row r="149" spans="1:3" x14ac:dyDescent="0.3">
      <c r="A149" s="298" t="str">
        <f>Tableau6[[#Headers],[Dispositifs Cyber]]</f>
        <v>Dispositifs Cyber</v>
      </c>
      <c r="B149" s="88" t="s">
        <v>5</v>
      </c>
      <c r="C149" s="301">
        <f>$B$30</f>
        <v>1.5960111374999999</v>
      </c>
    </row>
    <row r="150" spans="1:3" x14ac:dyDescent="0.3">
      <c r="A150" s="298" t="str">
        <f>Tableau6[[#Headers],[Dispositifs Cyber]]</f>
        <v>Dispositifs Cyber</v>
      </c>
      <c r="B150" s="88" t="s">
        <v>6</v>
      </c>
      <c r="C150" s="301">
        <f>$B$31</f>
        <v>21.934199041666666</v>
      </c>
    </row>
    <row r="151" spans="1:3" x14ac:dyDescent="0.3">
      <c r="A151" s="298" t="str">
        <f>Tableau6[[#Headers],[Dispositifs Cyber]]</f>
        <v>Dispositifs Cyber</v>
      </c>
      <c r="B151" s="88" t="s">
        <v>7</v>
      </c>
      <c r="C151" s="301">
        <f>$B$32</f>
        <v>0</v>
      </c>
    </row>
    <row r="152" spans="1:3" x14ac:dyDescent="0.3">
      <c r="A152" s="298" t="str">
        <f>Tableau6[[#Headers],[Dispositifs Cyber]]</f>
        <v>Dispositifs Cyber</v>
      </c>
      <c r="B152" s="88" t="s">
        <v>8</v>
      </c>
      <c r="C152" s="301">
        <f>$B$33</f>
        <v>0</v>
      </c>
    </row>
    <row r="153" spans="1:3" x14ac:dyDescent="0.3">
      <c r="A153" s="298" t="str">
        <f>Tableau6[[#Headers],[Dispositifs Cyber]]</f>
        <v>Dispositifs Cyber</v>
      </c>
      <c r="B153" s="88" t="s">
        <v>9</v>
      </c>
      <c r="C153" s="301">
        <f>$B$34</f>
        <v>0</v>
      </c>
    </row>
    <row r="154" spans="1:3" x14ac:dyDescent="0.3">
      <c r="A154" s="298" t="str">
        <f>Tableau6[[#Headers],[Dispositifs Cyber]]</f>
        <v>Dispositifs Cyber</v>
      </c>
      <c r="B154" s="88" t="s">
        <v>10</v>
      </c>
      <c r="C154" s="301">
        <f>$B$35</f>
        <v>0</v>
      </c>
    </row>
    <row r="155" spans="1:3" x14ac:dyDescent="0.3">
      <c r="A155" s="298" t="str">
        <f>Tableau6[[#Headers],[Dispositifs Cyber]]</f>
        <v>Dispositifs Cyber</v>
      </c>
      <c r="B155" s="88" t="s">
        <v>11</v>
      </c>
      <c r="C155" s="301">
        <f>$B$36</f>
        <v>0.24107360950000004</v>
      </c>
    </row>
    <row r="156" spans="1:3" x14ac:dyDescent="0.3">
      <c r="A156" s="298" t="str">
        <f>Tableau6[[#Headers],[Dispositifs Cyber]]</f>
        <v>Dispositifs Cyber</v>
      </c>
      <c r="B156" s="88" t="s">
        <v>12</v>
      </c>
      <c r="C156" s="301">
        <f>$B$37</f>
        <v>0</v>
      </c>
    </row>
    <row r="157" spans="1:3" x14ac:dyDescent="0.3">
      <c r="A157" s="298" t="str">
        <f>Tableau6[[#Headers],[Dispositifs Cyber]]</f>
        <v>Dispositifs Cyber</v>
      </c>
      <c r="B157" s="297" t="s">
        <v>13</v>
      </c>
      <c r="C157" s="301">
        <f>$B$38</f>
        <v>0</v>
      </c>
    </row>
    <row r="158" spans="1:3" x14ac:dyDescent="0.3">
      <c r="A158" s="298" t="str">
        <f>Tableau6[[#Headers],[Réseau]]</f>
        <v>Réseau</v>
      </c>
      <c r="B158" s="88" t="s">
        <v>0</v>
      </c>
      <c r="C158" s="301">
        <f>$C$25</f>
        <v>0</v>
      </c>
    </row>
    <row r="159" spans="1:3" x14ac:dyDescent="0.3">
      <c r="A159" s="298" t="str">
        <f>Tableau6[[#Headers],[Réseau]]</f>
        <v>Réseau</v>
      </c>
      <c r="B159" s="88" t="s">
        <v>1</v>
      </c>
      <c r="C159" s="301">
        <f>$C$26</f>
        <v>0</v>
      </c>
    </row>
    <row r="160" spans="1:3" x14ac:dyDescent="0.3">
      <c r="A160" s="298" t="str">
        <f>Tableau6[[#Headers],[Réseau]]</f>
        <v>Réseau</v>
      </c>
      <c r="B160" s="88" t="s">
        <v>2</v>
      </c>
      <c r="C160" s="301">
        <f>$C$27</f>
        <v>0</v>
      </c>
    </row>
    <row r="161" spans="1:3" x14ac:dyDescent="0.3">
      <c r="A161" s="298" t="str">
        <f>Tableau6[[#Headers],[Réseau]]</f>
        <v>Réseau</v>
      </c>
      <c r="B161" s="88" t="s">
        <v>3</v>
      </c>
      <c r="C161" s="301">
        <f>$C$28</f>
        <v>0</v>
      </c>
    </row>
    <row r="162" spans="1:3" x14ac:dyDescent="0.3">
      <c r="A162" s="298" t="str">
        <f>Tableau6[[#Headers],[Réseau]]</f>
        <v>Réseau</v>
      </c>
      <c r="B162" s="88" t="s">
        <v>4</v>
      </c>
      <c r="C162" s="301">
        <f>$C$29</f>
        <v>15.972790834285716</v>
      </c>
    </row>
    <row r="163" spans="1:3" x14ac:dyDescent="0.3">
      <c r="A163" s="298" t="str">
        <f>Tableau6[[#Headers],[Réseau]]</f>
        <v>Réseau</v>
      </c>
      <c r="B163" s="88" t="s">
        <v>5</v>
      </c>
      <c r="C163" s="301">
        <f>$C$30</f>
        <v>0</v>
      </c>
    </row>
    <row r="164" spans="1:3" x14ac:dyDescent="0.3">
      <c r="A164" s="298" t="str">
        <f>Tableau6[[#Headers],[Réseau]]</f>
        <v>Réseau</v>
      </c>
      <c r="B164" s="88" t="s">
        <v>6</v>
      </c>
      <c r="C164" s="301">
        <f>$C$31</f>
        <v>0</v>
      </c>
    </row>
    <row r="165" spans="1:3" x14ac:dyDescent="0.3">
      <c r="A165" s="298" t="str">
        <f>Tableau6[[#Headers],[Réseau]]</f>
        <v>Réseau</v>
      </c>
      <c r="B165" s="88" t="s">
        <v>7</v>
      </c>
      <c r="C165" s="301">
        <f>$C$32</f>
        <v>0</v>
      </c>
    </row>
    <row r="166" spans="1:3" x14ac:dyDescent="0.3">
      <c r="A166" s="298" t="str">
        <f>Tableau6[[#Headers],[Réseau]]</f>
        <v>Réseau</v>
      </c>
      <c r="B166" s="88" t="s">
        <v>8</v>
      </c>
      <c r="C166" s="301">
        <f>$C$33</f>
        <v>0</v>
      </c>
    </row>
    <row r="167" spans="1:3" x14ac:dyDescent="0.3">
      <c r="A167" s="298" t="str">
        <f>Tableau6[[#Headers],[Réseau]]</f>
        <v>Réseau</v>
      </c>
      <c r="B167" s="88" t="s">
        <v>9</v>
      </c>
      <c r="C167" s="301">
        <f>$C$34</f>
        <v>34.466492434285712</v>
      </c>
    </row>
    <row r="168" spans="1:3" x14ac:dyDescent="0.3">
      <c r="A168" s="298" t="str">
        <f>Tableau6[[#Headers],[Réseau]]</f>
        <v>Réseau</v>
      </c>
      <c r="B168" s="88" t="s">
        <v>10</v>
      </c>
      <c r="C168" s="301">
        <f>$C$35</f>
        <v>0</v>
      </c>
    </row>
    <row r="169" spans="1:3" x14ac:dyDescent="0.3">
      <c r="A169" s="298" t="str">
        <f>Tableau6[[#Headers],[Réseau]]</f>
        <v>Réseau</v>
      </c>
      <c r="B169" s="88" t="s">
        <v>11</v>
      </c>
      <c r="C169" s="301">
        <f>$C$36</f>
        <v>0</v>
      </c>
    </row>
    <row r="170" spans="1:3" x14ac:dyDescent="0.3">
      <c r="A170" s="298" t="str">
        <f>Tableau6[[#Headers],[Réseau]]</f>
        <v>Réseau</v>
      </c>
      <c r="B170" s="88" t="s">
        <v>12</v>
      </c>
      <c r="C170" s="301">
        <f>$C$37</f>
        <v>0</v>
      </c>
    </row>
    <row r="171" spans="1:3" x14ac:dyDescent="0.3">
      <c r="A171" s="298" t="str">
        <f>Tableau6[[#Headers],[Réseau]]</f>
        <v>Réseau</v>
      </c>
      <c r="B171" s="297" t="s">
        <v>13</v>
      </c>
      <c r="C171" s="301">
        <f>$C$38</f>
        <v>0</v>
      </c>
    </row>
    <row r="172" spans="1:3" x14ac:dyDescent="0.3">
      <c r="A172" s="298" t="str">
        <f>Tableau6[[#Headers],[Serveurs de sauvegarde]]</f>
        <v>Serveurs de sauvegarde</v>
      </c>
      <c r="B172" s="88" t="s">
        <v>0</v>
      </c>
      <c r="C172" s="301">
        <f>$D$25</f>
        <v>0</v>
      </c>
    </row>
    <row r="173" spans="1:3" x14ac:dyDescent="0.3">
      <c r="A173" s="298" t="str">
        <f>Tableau6[[#Headers],[Serveurs de sauvegarde]]</f>
        <v>Serveurs de sauvegarde</v>
      </c>
      <c r="B173" s="88" t="s">
        <v>1</v>
      </c>
      <c r="C173" s="301">
        <f>$D$26</f>
        <v>0</v>
      </c>
    </row>
    <row r="174" spans="1:3" x14ac:dyDescent="0.3">
      <c r="A174" s="298" t="str">
        <f>Tableau6[[#Headers],[Serveurs de sauvegarde]]</f>
        <v>Serveurs de sauvegarde</v>
      </c>
      <c r="B174" s="88" t="s">
        <v>2</v>
      </c>
      <c r="C174" s="301">
        <f>$D$27</f>
        <v>0</v>
      </c>
    </row>
    <row r="175" spans="1:3" x14ac:dyDescent="0.3">
      <c r="A175" s="298" t="str">
        <f>Tableau6[[#Headers],[Serveurs de sauvegarde]]</f>
        <v>Serveurs de sauvegarde</v>
      </c>
      <c r="B175" s="88" t="s">
        <v>3</v>
      </c>
      <c r="C175" s="301">
        <f>$D$28</f>
        <v>0</v>
      </c>
    </row>
    <row r="176" spans="1:3" x14ac:dyDescent="0.3">
      <c r="A176" s="298" t="str">
        <f>Tableau6[[#Headers],[Serveurs de sauvegarde]]</f>
        <v>Serveurs de sauvegarde</v>
      </c>
      <c r="B176" s="88" t="s">
        <v>4</v>
      </c>
      <c r="C176" s="301">
        <f>$D$29</f>
        <v>0</v>
      </c>
    </row>
    <row r="177" spans="1:3" x14ac:dyDescent="0.3">
      <c r="A177" s="298" t="str">
        <f>Tableau6[[#Headers],[Serveurs de sauvegarde]]</f>
        <v>Serveurs de sauvegarde</v>
      </c>
      <c r="B177" s="88" t="s">
        <v>5</v>
      </c>
      <c r="C177" s="301">
        <f>$D$30</f>
        <v>0</v>
      </c>
    </row>
    <row r="178" spans="1:3" x14ac:dyDescent="0.3">
      <c r="A178" s="298" t="str">
        <f>Tableau6[[#Headers],[Serveurs de sauvegarde]]</f>
        <v>Serveurs de sauvegarde</v>
      </c>
      <c r="B178" s="88" t="s">
        <v>6</v>
      </c>
      <c r="C178" s="301">
        <f>$D$31</f>
        <v>0</v>
      </c>
    </row>
    <row r="179" spans="1:3" x14ac:dyDescent="0.3">
      <c r="A179" s="298" t="str">
        <f>Tableau6[[#Headers],[Serveurs de sauvegarde]]</f>
        <v>Serveurs de sauvegarde</v>
      </c>
      <c r="B179" s="88" t="s">
        <v>7</v>
      </c>
      <c r="C179" s="301">
        <f>$D$32</f>
        <v>0</v>
      </c>
    </row>
    <row r="180" spans="1:3" x14ac:dyDescent="0.3">
      <c r="A180" s="298" t="str">
        <f>Tableau6[[#Headers],[Serveurs de sauvegarde]]</f>
        <v>Serveurs de sauvegarde</v>
      </c>
      <c r="B180" s="88" t="s">
        <v>8</v>
      </c>
      <c r="C180" s="301">
        <f>$D$33</f>
        <v>0</v>
      </c>
    </row>
    <row r="181" spans="1:3" x14ac:dyDescent="0.3">
      <c r="A181" s="298" t="str">
        <f>Tableau6[[#Headers],[Serveurs de sauvegarde]]</f>
        <v>Serveurs de sauvegarde</v>
      </c>
      <c r="B181" s="88" t="s">
        <v>9</v>
      </c>
      <c r="C181" s="301">
        <f>$D$34</f>
        <v>0</v>
      </c>
    </row>
    <row r="182" spans="1:3" x14ac:dyDescent="0.3">
      <c r="A182" s="298" t="str">
        <f>Tableau6[[#Headers],[Serveurs de sauvegarde]]</f>
        <v>Serveurs de sauvegarde</v>
      </c>
      <c r="B182" s="88" t="s">
        <v>10</v>
      </c>
      <c r="C182" s="301">
        <f>$D$35</f>
        <v>0</v>
      </c>
    </row>
    <row r="183" spans="1:3" x14ac:dyDescent="0.3">
      <c r="A183" s="298" t="str">
        <f>Tableau6[[#Headers],[Serveurs de sauvegarde]]</f>
        <v>Serveurs de sauvegarde</v>
      </c>
      <c r="B183" s="88" t="s">
        <v>11</v>
      </c>
      <c r="C183" s="301">
        <f>$D$36</f>
        <v>19.137024446195554</v>
      </c>
    </row>
    <row r="184" spans="1:3" x14ac:dyDescent="0.3">
      <c r="A184" s="298" t="str">
        <f>Tableau6[[#Headers],[Serveurs de sauvegarde]]</f>
        <v>Serveurs de sauvegarde</v>
      </c>
      <c r="B184" s="88" t="s">
        <v>12</v>
      </c>
      <c r="C184" s="301">
        <f>$D$37</f>
        <v>0</v>
      </c>
    </row>
    <row r="185" spans="1:3" x14ac:dyDescent="0.3">
      <c r="A185" s="298" t="str">
        <f>Tableau6[[#Headers],[Serveurs de sauvegarde]]</f>
        <v>Serveurs de sauvegarde</v>
      </c>
      <c r="B185" s="297" t="s">
        <v>13</v>
      </c>
      <c r="C185" s="301">
        <f>$D$38</f>
        <v>0</v>
      </c>
    </row>
    <row r="186" spans="1:3" x14ac:dyDescent="0.3">
      <c r="A186" s="298" t="str">
        <f>Tableau6[[#Headers],[ Infrastructure des logiciels Cyber]]</f>
        <v xml:space="preserve"> Infrastructure des logiciels Cyber</v>
      </c>
      <c r="B186" s="88" t="s">
        <v>0</v>
      </c>
      <c r="C186" s="301">
        <f>$E$25</f>
        <v>0</v>
      </c>
    </row>
    <row r="187" spans="1:3" x14ac:dyDescent="0.3">
      <c r="A187" s="298" t="str">
        <f>Tableau6[[#Headers],[ Infrastructure des logiciels Cyber]]</f>
        <v xml:space="preserve"> Infrastructure des logiciels Cyber</v>
      </c>
      <c r="B187" s="88" t="s">
        <v>1</v>
      </c>
      <c r="C187" s="301">
        <f>$E$26</f>
        <v>1615.2009471719625</v>
      </c>
    </row>
    <row r="188" spans="1:3" x14ac:dyDescent="0.3">
      <c r="A188" s="298" t="str">
        <f>Tableau6[[#Headers],[ Infrastructure des logiciels Cyber]]</f>
        <v xml:space="preserve"> Infrastructure des logiciels Cyber</v>
      </c>
      <c r="B188" s="88" t="s">
        <v>2</v>
      </c>
      <c r="C188" s="301">
        <f>$E$27</f>
        <v>0</v>
      </c>
    </row>
    <row r="189" spans="1:3" x14ac:dyDescent="0.3">
      <c r="A189" s="298" t="str">
        <f>Tableau6[[#Headers],[ Infrastructure des logiciels Cyber]]</f>
        <v xml:space="preserve"> Infrastructure des logiciels Cyber</v>
      </c>
      <c r="B189" s="88" t="s">
        <v>3</v>
      </c>
      <c r="C189" s="301">
        <f>$E$28</f>
        <v>0</v>
      </c>
    </row>
    <row r="190" spans="1:3" x14ac:dyDescent="0.3">
      <c r="A190" s="298" t="str">
        <f>Tableau6[[#Headers],[ Infrastructure des logiciels Cyber]]</f>
        <v xml:space="preserve"> Infrastructure des logiciels Cyber</v>
      </c>
      <c r="B190" s="88" t="s">
        <v>4</v>
      </c>
      <c r="C190" s="301">
        <f>$E$29</f>
        <v>0</v>
      </c>
    </row>
    <row r="191" spans="1:3" x14ac:dyDescent="0.3">
      <c r="A191" s="298" t="str">
        <f>Tableau6[[#Headers],[ Infrastructure des logiciels Cyber]]</f>
        <v xml:space="preserve"> Infrastructure des logiciels Cyber</v>
      </c>
      <c r="B191" s="88" t="s">
        <v>5</v>
      </c>
      <c r="C191" s="301">
        <f>$E$30</f>
        <v>0</v>
      </c>
    </row>
    <row r="192" spans="1:3" x14ac:dyDescent="0.3">
      <c r="A192" s="298" t="str">
        <f>Tableau6[[#Headers],[ Infrastructure des logiciels Cyber]]</f>
        <v xml:space="preserve"> Infrastructure des logiciels Cyber</v>
      </c>
      <c r="B192" s="88" t="s">
        <v>6</v>
      </c>
      <c r="C192" s="301">
        <f>$E$31</f>
        <v>0</v>
      </c>
    </row>
    <row r="193" spans="1:3" x14ac:dyDescent="0.3">
      <c r="A193" s="298" t="str">
        <f>Tableau6[[#Headers],[ Infrastructure des logiciels Cyber]]</f>
        <v xml:space="preserve"> Infrastructure des logiciels Cyber</v>
      </c>
      <c r="B193" s="88" t="s">
        <v>7</v>
      </c>
      <c r="C193" s="301">
        <f>$E$32</f>
        <v>0</v>
      </c>
    </row>
    <row r="194" spans="1:3" x14ac:dyDescent="0.3">
      <c r="A194" s="298" t="str">
        <f>Tableau6[[#Headers],[ Infrastructure des logiciels Cyber]]</f>
        <v xml:space="preserve"> Infrastructure des logiciels Cyber</v>
      </c>
      <c r="B194" s="88" t="s">
        <v>8</v>
      </c>
      <c r="C194" s="301">
        <f>$E$33</f>
        <v>0</v>
      </c>
    </row>
    <row r="195" spans="1:3" x14ac:dyDescent="0.3">
      <c r="A195" s="298" t="str">
        <f>Tableau6[[#Headers],[ Infrastructure des logiciels Cyber]]</f>
        <v xml:space="preserve"> Infrastructure des logiciels Cyber</v>
      </c>
      <c r="B195" s="88" t="s">
        <v>9</v>
      </c>
      <c r="C195" s="301">
        <f>$E$34</f>
        <v>1223.269311</v>
      </c>
    </row>
    <row r="196" spans="1:3" x14ac:dyDescent="0.3">
      <c r="A196" s="298" t="str">
        <f>Tableau6[[#Headers],[ Infrastructure des logiciels Cyber]]</f>
        <v xml:space="preserve"> Infrastructure des logiciels Cyber</v>
      </c>
      <c r="B196" s="88" t="s">
        <v>10</v>
      </c>
      <c r="C196" s="301">
        <f>$E$35</f>
        <v>0</v>
      </c>
    </row>
    <row r="197" spans="1:3" x14ac:dyDescent="0.3">
      <c r="A197" s="298" t="str">
        <f>Tableau6[[#Headers],[ Infrastructure des logiciels Cyber]]</f>
        <v xml:space="preserve"> Infrastructure des logiciels Cyber</v>
      </c>
      <c r="B197" s="88" t="s">
        <v>11</v>
      </c>
      <c r="C197" s="301">
        <f>$E$36</f>
        <v>0</v>
      </c>
    </row>
    <row r="198" spans="1:3" x14ac:dyDescent="0.3">
      <c r="A198" s="298" t="str">
        <f>Tableau6[[#Headers],[ Infrastructure des logiciels Cyber]]</f>
        <v xml:space="preserve"> Infrastructure des logiciels Cyber</v>
      </c>
      <c r="B198" s="88" t="s">
        <v>12</v>
      </c>
      <c r="C198" s="301">
        <f>$E$37</f>
        <v>0</v>
      </c>
    </row>
    <row r="199" spans="1:3" x14ac:dyDescent="0.3">
      <c r="A199" s="298" t="str">
        <f>Tableau6[[#Headers],[ Infrastructure des logiciels Cyber]]</f>
        <v xml:space="preserve"> Infrastructure des logiciels Cyber</v>
      </c>
      <c r="B199" s="297" t="s">
        <v>13</v>
      </c>
      <c r="C199" s="301">
        <f>$E$38</f>
        <v>1595.5686659999999</v>
      </c>
    </row>
    <row r="200" spans="1:3" x14ac:dyDescent="0.3">
      <c r="A200" s="298" t="str">
        <f>Tableau6[[#Headers],[Services externes]]</f>
        <v>Services externes</v>
      </c>
      <c r="B200" s="88" t="s">
        <v>0</v>
      </c>
      <c r="C200" s="301">
        <f>$F$25</f>
        <v>0</v>
      </c>
    </row>
    <row r="201" spans="1:3" x14ac:dyDescent="0.3">
      <c r="A201" s="298" t="str">
        <f>Tableau6[[#Headers],[Services externes]]</f>
        <v>Services externes</v>
      </c>
      <c r="B201" s="88" t="s">
        <v>1</v>
      </c>
      <c r="C201" s="301">
        <f>$F$26</f>
        <v>7.4418396597186014</v>
      </c>
    </row>
    <row r="202" spans="1:3" x14ac:dyDescent="0.3">
      <c r="A202" s="298" t="str">
        <f>Tableau6[[#Headers],[Services externes]]</f>
        <v>Services externes</v>
      </c>
      <c r="B202" s="88" t="s">
        <v>2</v>
      </c>
      <c r="C202" s="301">
        <f>$F$27</f>
        <v>0</v>
      </c>
    </row>
    <row r="203" spans="1:3" x14ac:dyDescent="0.3">
      <c r="A203" s="298" t="str">
        <f>Tableau6[[#Headers],[Services externes]]</f>
        <v>Services externes</v>
      </c>
      <c r="B203" s="88" t="s">
        <v>3</v>
      </c>
      <c r="C203" s="301">
        <f>$F$28</f>
        <v>0</v>
      </c>
    </row>
    <row r="204" spans="1:3" x14ac:dyDescent="0.3">
      <c r="A204" s="298" t="str">
        <f>Tableau6[[#Headers],[Services externes]]</f>
        <v>Services externes</v>
      </c>
      <c r="B204" s="88" t="s">
        <v>4</v>
      </c>
      <c r="C204" s="301">
        <f>$F$29</f>
        <v>0</v>
      </c>
    </row>
    <row r="205" spans="1:3" x14ac:dyDescent="0.3">
      <c r="A205" s="298" t="str">
        <f>Tableau6[[#Headers],[Services externes]]</f>
        <v>Services externes</v>
      </c>
      <c r="B205" s="88" t="s">
        <v>5</v>
      </c>
      <c r="C205" s="301">
        <f>$F$30</f>
        <v>0</v>
      </c>
    </row>
    <row r="206" spans="1:3" x14ac:dyDescent="0.3">
      <c r="A206" s="298" t="str">
        <f>Tableau6[[#Headers],[Services externes]]</f>
        <v>Services externes</v>
      </c>
      <c r="B206" s="88" t="s">
        <v>6</v>
      </c>
      <c r="C206" s="301">
        <f>$F$31</f>
        <v>0</v>
      </c>
    </row>
    <row r="207" spans="1:3" x14ac:dyDescent="0.3">
      <c r="A207" s="298" t="str">
        <f>Tableau6[[#Headers],[Services externes]]</f>
        <v>Services externes</v>
      </c>
      <c r="B207" s="88" t="s">
        <v>7</v>
      </c>
      <c r="C207" s="301">
        <f>$F$32</f>
        <v>0</v>
      </c>
    </row>
    <row r="208" spans="1:3" x14ac:dyDescent="0.3">
      <c r="A208" s="298" t="str">
        <f>Tableau6[[#Headers],[Services externes]]</f>
        <v>Services externes</v>
      </c>
      <c r="B208" s="88" t="s">
        <v>8</v>
      </c>
      <c r="C208" s="301">
        <f>$F$33</f>
        <v>0</v>
      </c>
    </row>
    <row r="209" spans="1:3" x14ac:dyDescent="0.3">
      <c r="A209" s="298" t="str">
        <f>Tableau6[[#Headers],[Services externes]]</f>
        <v>Services externes</v>
      </c>
      <c r="B209" s="88" t="s">
        <v>9</v>
      </c>
      <c r="C209" s="301">
        <f>$F$34</f>
        <v>15.470355135921537</v>
      </c>
    </row>
    <row r="210" spans="1:3" x14ac:dyDescent="0.3">
      <c r="A210" s="298" t="str">
        <f>Tableau6[[#Headers],[Services externes]]</f>
        <v>Services externes</v>
      </c>
      <c r="B210" s="88" t="s">
        <v>10</v>
      </c>
      <c r="C210" s="301">
        <f>$F$35</f>
        <v>0</v>
      </c>
    </row>
    <row r="211" spans="1:3" x14ac:dyDescent="0.3">
      <c r="A211" s="298" t="str">
        <f>Tableau6[[#Headers],[Services externes]]</f>
        <v>Services externes</v>
      </c>
      <c r="B211" s="88" t="s">
        <v>11</v>
      </c>
      <c r="C211" s="301">
        <f>$F$36</f>
        <v>0</v>
      </c>
    </row>
    <row r="212" spans="1:3" x14ac:dyDescent="0.3">
      <c r="A212" s="298" t="str">
        <f>Tableau6[[#Headers],[Services externes]]</f>
        <v>Services externes</v>
      </c>
      <c r="B212" s="88" t="s">
        <v>12</v>
      </c>
      <c r="C212" s="301">
        <f>$F$37</f>
        <v>0.31970883174120279</v>
      </c>
    </row>
    <row r="213" spans="1:3" x14ac:dyDescent="0.3">
      <c r="A213" s="298" t="str">
        <f>Tableau6[[#Headers],[Services externes]]</f>
        <v>Services externes</v>
      </c>
      <c r="B213" s="297" t="s">
        <v>13</v>
      </c>
      <c r="C213" s="301">
        <f>$F$38</f>
        <v>368.14999331103951</v>
      </c>
    </row>
    <row r="214" spans="1:3" x14ac:dyDescent="0.3">
      <c r="A214" s="298" t="str">
        <f>Tableau6[[#Headers],[Voyage]]</f>
        <v>Voyage</v>
      </c>
      <c r="B214" s="88" t="s">
        <v>0</v>
      </c>
      <c r="C214" s="301">
        <f>$G$25</f>
        <v>0</v>
      </c>
    </row>
    <row r="215" spans="1:3" x14ac:dyDescent="0.3">
      <c r="A215" s="298" t="str">
        <f>Tableau6[[#Headers],[Voyage]]</f>
        <v>Voyage</v>
      </c>
      <c r="B215" s="88" t="s">
        <v>1</v>
      </c>
      <c r="C215" s="301">
        <f>$G$26</f>
        <v>0</v>
      </c>
    </row>
    <row r="216" spans="1:3" x14ac:dyDescent="0.3">
      <c r="A216" s="298" t="str">
        <f>Tableau6[[#Headers],[Voyage]]</f>
        <v>Voyage</v>
      </c>
      <c r="B216" s="88" t="s">
        <v>2</v>
      </c>
      <c r="C216" s="301">
        <f>$G$27</f>
        <v>0</v>
      </c>
    </row>
    <row r="217" spans="1:3" x14ac:dyDescent="0.3">
      <c r="A217" s="298" t="str">
        <f>Tableau6[[#Headers],[Voyage]]</f>
        <v>Voyage</v>
      </c>
      <c r="B217" s="88" t="s">
        <v>3</v>
      </c>
      <c r="C217" s="301">
        <f>$G$28</f>
        <v>0</v>
      </c>
    </row>
    <row r="218" spans="1:3" x14ac:dyDescent="0.3">
      <c r="A218" s="298" t="str">
        <f>Tableau6[[#Headers],[Voyage]]</f>
        <v>Voyage</v>
      </c>
      <c r="B218" s="88" t="s">
        <v>4</v>
      </c>
      <c r="C218" s="301">
        <f>$G$29</f>
        <v>0</v>
      </c>
    </row>
    <row r="219" spans="1:3" x14ac:dyDescent="0.3">
      <c r="A219" s="298" t="str">
        <f>Tableau6[[#Headers],[Voyage]]</f>
        <v>Voyage</v>
      </c>
      <c r="B219" s="88" t="s">
        <v>5</v>
      </c>
      <c r="C219" s="301">
        <f>$G$30</f>
        <v>0</v>
      </c>
    </row>
    <row r="220" spans="1:3" x14ac:dyDescent="0.3">
      <c r="A220" s="298" t="str">
        <f>Tableau6[[#Headers],[Voyage]]</f>
        <v>Voyage</v>
      </c>
      <c r="B220" s="88" t="s">
        <v>6</v>
      </c>
      <c r="C220" s="301">
        <f>$G$31</f>
        <v>668.23728599999993</v>
      </c>
    </row>
    <row r="221" spans="1:3" x14ac:dyDescent="0.3">
      <c r="A221" s="298" t="str">
        <f>Tableau6[[#Headers],[Voyage]]</f>
        <v>Voyage</v>
      </c>
      <c r="B221" s="88" t="s">
        <v>7</v>
      </c>
      <c r="C221" s="301">
        <f>$G$32</f>
        <v>0</v>
      </c>
    </row>
    <row r="222" spans="1:3" x14ac:dyDescent="0.3">
      <c r="A222" s="298" t="str">
        <f>Tableau6[[#Headers],[Voyage]]</f>
        <v>Voyage</v>
      </c>
      <c r="B222" s="88" t="s">
        <v>8</v>
      </c>
      <c r="C222" s="301">
        <f>$G$33</f>
        <v>0</v>
      </c>
    </row>
    <row r="223" spans="1:3" x14ac:dyDescent="0.3">
      <c r="A223" s="298" t="str">
        <f>Tableau6[[#Headers],[Voyage]]</f>
        <v>Voyage</v>
      </c>
      <c r="B223" s="88" t="s">
        <v>9</v>
      </c>
      <c r="C223" s="301">
        <f>$G$34</f>
        <v>0</v>
      </c>
    </row>
    <row r="224" spans="1:3" x14ac:dyDescent="0.3">
      <c r="A224" s="298" t="str">
        <f>Tableau6[[#Headers],[Voyage]]</f>
        <v>Voyage</v>
      </c>
      <c r="B224" s="88" t="s">
        <v>10</v>
      </c>
      <c r="C224" s="301">
        <f>$G$35</f>
        <v>0</v>
      </c>
    </row>
    <row r="225" spans="1:3" x14ac:dyDescent="0.3">
      <c r="A225" s="298" t="str">
        <f>Tableau6[[#Headers],[Voyage]]</f>
        <v>Voyage</v>
      </c>
      <c r="B225" s="88" t="s">
        <v>11</v>
      </c>
      <c r="C225" s="301">
        <f>$G$36</f>
        <v>0</v>
      </c>
    </row>
    <row r="226" spans="1:3" x14ac:dyDescent="0.3">
      <c r="A226" s="298" t="str">
        <f>Tableau6[[#Headers],[Voyage]]</f>
        <v>Voyage</v>
      </c>
      <c r="B226" s="88" t="s">
        <v>12</v>
      </c>
      <c r="C226" s="301">
        <f>$G$37</f>
        <v>0</v>
      </c>
    </row>
    <row r="227" spans="1:3" x14ac:dyDescent="0.3">
      <c r="A227" s="298" t="str">
        <f>Tableau6[[#Headers],[Voyage]]</f>
        <v>Voyage</v>
      </c>
      <c r="B227" s="297" t="s">
        <v>13</v>
      </c>
      <c r="C227" s="301">
        <f>$G$38</f>
        <v>0</v>
      </c>
    </row>
    <row r="228" spans="1:3" x14ac:dyDescent="0.3">
      <c r="A228" s="298" t="str">
        <f>Tableau6[[#Headers],[Equipements Non-Cyber]]</f>
        <v>Equipements Non-Cyber</v>
      </c>
      <c r="B228" s="88" t="s">
        <v>0</v>
      </c>
      <c r="C228" s="301">
        <f>H25</f>
        <v>0</v>
      </c>
    </row>
    <row r="229" spans="1:3" x14ac:dyDescent="0.3">
      <c r="A229" s="298" t="str">
        <f>Tableau6[[#Headers],[Equipements Non-Cyber]]</f>
        <v>Equipements Non-Cyber</v>
      </c>
      <c r="B229" s="88" t="s">
        <v>1</v>
      </c>
      <c r="C229" s="301">
        <f t="shared" ref="C229:C241" si="0">H26</f>
        <v>0</v>
      </c>
    </row>
    <row r="230" spans="1:3" x14ac:dyDescent="0.3">
      <c r="A230" s="298" t="str">
        <f>Tableau6[[#Headers],[Equipements Non-Cyber]]</f>
        <v>Equipements Non-Cyber</v>
      </c>
      <c r="B230" s="88" t="s">
        <v>2</v>
      </c>
      <c r="C230" s="301">
        <f t="shared" si="0"/>
        <v>0</v>
      </c>
    </row>
    <row r="231" spans="1:3" x14ac:dyDescent="0.3">
      <c r="A231" s="298" t="str">
        <f>Tableau6[[#Headers],[Equipements Non-Cyber]]</f>
        <v>Equipements Non-Cyber</v>
      </c>
      <c r="B231" s="88" t="s">
        <v>3</v>
      </c>
      <c r="C231" s="301">
        <f t="shared" si="0"/>
        <v>0</v>
      </c>
    </row>
    <row r="232" spans="1:3" x14ac:dyDescent="0.3">
      <c r="A232" s="298" t="str">
        <f>Tableau6[[#Headers],[Equipements Non-Cyber]]</f>
        <v>Equipements Non-Cyber</v>
      </c>
      <c r="B232" s="88" t="s">
        <v>4</v>
      </c>
      <c r="C232" s="301">
        <f t="shared" si="0"/>
        <v>8.1166390390833332</v>
      </c>
    </row>
    <row r="233" spans="1:3" x14ac:dyDescent="0.3">
      <c r="A233" s="298" t="str">
        <f>Tableau6[[#Headers],[Equipements Non-Cyber]]</f>
        <v>Equipements Non-Cyber</v>
      </c>
      <c r="B233" s="88" t="s">
        <v>5</v>
      </c>
      <c r="C233" s="301">
        <f t="shared" si="0"/>
        <v>0.61033191900000006</v>
      </c>
    </row>
    <row r="234" spans="1:3" x14ac:dyDescent="0.3">
      <c r="A234" s="298" t="str">
        <f>Tableau6[[#Headers],[Equipements Non-Cyber]]</f>
        <v>Equipements Non-Cyber</v>
      </c>
      <c r="B234" s="88" t="s">
        <v>6</v>
      </c>
      <c r="C234" s="301">
        <f t="shared" si="0"/>
        <v>0</v>
      </c>
    </row>
    <row r="235" spans="1:3" x14ac:dyDescent="0.3">
      <c r="A235" s="298" t="str">
        <f>Tableau6[[#Headers],[Equipements Non-Cyber]]</f>
        <v>Equipements Non-Cyber</v>
      </c>
      <c r="B235" s="88" t="s">
        <v>7</v>
      </c>
      <c r="C235" s="301">
        <f t="shared" si="0"/>
        <v>0</v>
      </c>
    </row>
    <row r="236" spans="1:3" x14ac:dyDescent="0.3">
      <c r="A236" s="298" t="str">
        <f>Tableau6[[#Headers],[Equipements Non-Cyber]]</f>
        <v>Equipements Non-Cyber</v>
      </c>
      <c r="B236" s="88" t="s">
        <v>8</v>
      </c>
      <c r="C236" s="301">
        <f t="shared" si="0"/>
        <v>0</v>
      </c>
    </row>
    <row r="237" spans="1:3" x14ac:dyDescent="0.3">
      <c r="A237" s="298" t="str">
        <f>Tableau6[[#Headers],[Equipements Non-Cyber]]</f>
        <v>Equipements Non-Cyber</v>
      </c>
      <c r="B237" s="88" t="s">
        <v>9</v>
      </c>
      <c r="C237" s="301">
        <f t="shared" si="0"/>
        <v>0</v>
      </c>
    </row>
    <row r="238" spans="1:3" x14ac:dyDescent="0.3">
      <c r="A238" s="298" t="str">
        <f>Tableau6[[#Headers],[Equipements Non-Cyber]]</f>
        <v>Equipements Non-Cyber</v>
      </c>
      <c r="B238" s="88" t="s">
        <v>10</v>
      </c>
      <c r="C238" s="301">
        <f t="shared" si="0"/>
        <v>24.349917117249998</v>
      </c>
    </row>
    <row r="239" spans="1:3" x14ac:dyDescent="0.3">
      <c r="A239" s="298" t="str">
        <f>Tableau6[[#Headers],[Equipements Non-Cyber]]</f>
        <v>Equipements Non-Cyber</v>
      </c>
      <c r="B239" s="88" t="s">
        <v>11</v>
      </c>
      <c r="C239" s="301">
        <f t="shared" si="0"/>
        <v>0</v>
      </c>
    </row>
    <row r="240" spans="1:3" x14ac:dyDescent="0.3">
      <c r="A240" s="298" t="str">
        <f>Tableau6[[#Headers],[Equipements Non-Cyber]]</f>
        <v>Equipements Non-Cyber</v>
      </c>
      <c r="B240" s="88" t="s">
        <v>12</v>
      </c>
      <c r="C240" s="301">
        <f t="shared" si="0"/>
        <v>0</v>
      </c>
    </row>
    <row r="241" spans="1:3" x14ac:dyDescent="0.3">
      <c r="A241" s="298" t="str">
        <f>Tableau6[[#Headers],[Equipements Non-Cyber]]</f>
        <v>Equipements Non-Cyber</v>
      </c>
      <c r="B241" s="297" t="s">
        <v>13</v>
      </c>
      <c r="C241" s="301">
        <f t="shared" si="0"/>
        <v>0</v>
      </c>
    </row>
  </sheetData>
  <mergeCells count="1">
    <mergeCell ref="B23:G23"/>
  </mergeCells>
  <pageMargins left="0.7" right="0.7" top="0.75" bottom="0.75" header="0.3" footer="0.3"/>
  <drawing r:id="rId1"/>
  <tableParts count="4">
    <tablePart r:id="rId2"/>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66B6-01E5-4459-B817-5738352CEA55}">
  <sheetPr>
    <tabColor theme="5" tint="0.39997558519241921"/>
  </sheetPr>
  <dimension ref="A1:E60"/>
  <sheetViews>
    <sheetView showGridLines="0" zoomScale="70" zoomScaleNormal="70" workbookViewId="0">
      <selection activeCell="A52" sqref="A52"/>
    </sheetView>
  </sheetViews>
  <sheetFormatPr baseColWidth="10" defaultColWidth="11.4140625" defaultRowHeight="14" x14ac:dyDescent="0.3"/>
  <cols>
    <col min="1" max="1" width="48.5" customWidth="1"/>
    <col min="2" max="2" width="38.6640625" customWidth="1"/>
    <col min="3" max="3" width="33.25" customWidth="1"/>
    <col min="4" max="4" width="24.33203125" customWidth="1"/>
  </cols>
  <sheetData>
    <row r="1" spans="1:5" x14ac:dyDescent="0.3">
      <c r="A1" s="300" t="s">
        <v>187</v>
      </c>
      <c r="B1" s="301">
        <f>Total</f>
        <v>5620.08258668915</v>
      </c>
    </row>
    <row r="3" spans="1:5" x14ac:dyDescent="0.3">
      <c r="A3" s="300" t="s">
        <v>417</v>
      </c>
      <c r="B3" s="300" t="s">
        <v>418</v>
      </c>
      <c r="C3" s="300" t="s">
        <v>419</v>
      </c>
      <c r="D3" s="300" t="s">
        <v>188</v>
      </c>
      <c r="E3" s="300" t="s">
        <v>189</v>
      </c>
    </row>
    <row r="4" spans="1:5" x14ac:dyDescent="0.3">
      <c r="A4" t="str">
        <f>Tableau6[[#Headers],[Dispositifs Cyber]]</f>
        <v>Dispositifs Cyber</v>
      </c>
      <c r="B4" s="301">
        <f>Scope2_Devices</f>
        <v>9.7004568970000005</v>
      </c>
      <c r="C4" s="301">
        <f>Scope3_Devices</f>
        <v>14.070826891666666</v>
      </c>
      <c r="D4" s="301">
        <f>SUM(Tableau853[[#This Row],[Champ d''application 2 (tCO2e)]:[Champ d''application 3 (tCO2e)]])</f>
        <v>23.771283788666665</v>
      </c>
      <c r="E4" s="302">
        <f>Tableau853[[#This Row],[tCO2e]]/$B$1</f>
        <v>4.2297036426061805E-3</v>
      </c>
    </row>
    <row r="5" spans="1:5" x14ac:dyDescent="0.3">
      <c r="A5" t="str">
        <f>Tableau6[[#Headers],[Réseau]]</f>
        <v>Réseau</v>
      </c>
      <c r="B5" s="301">
        <f>Scope2_Network</f>
        <v>28.8501048</v>
      </c>
      <c r="C5" s="301">
        <f>Scope3_Network</f>
        <v>18.952971428571431</v>
      </c>
      <c r="D5" s="301">
        <f>SUM(Tableau853[[#This Row],[Champ d''application 2 (tCO2e)]:[Champ d''application 3 (tCO2e)]])</f>
        <v>47.803076228571427</v>
      </c>
      <c r="E5" s="302">
        <f>Tableau853[[#This Row],[tCO2e]]/$B$1</f>
        <v>8.505760456579468E-3</v>
      </c>
    </row>
    <row r="6" spans="1:5" x14ac:dyDescent="0.3">
      <c r="A6" t="str">
        <f>Tableau6[[#Headers],[Serveurs de sauvegarde]]</f>
        <v>Serveurs de sauvegarde</v>
      </c>
      <c r="B6" s="301">
        <f>Scope2_Servers</f>
        <v>6.4138688906399999</v>
      </c>
      <c r="C6" s="301">
        <f>Scope3_Servers</f>
        <v>12.723155555555556</v>
      </c>
      <c r="D6" s="301">
        <f>SUM(Tableau853[[#This Row],[Champ d''application 2 (tCO2e)]:[Champ d''application 3 (tCO2e)]])</f>
        <v>19.137024446195554</v>
      </c>
      <c r="E6" s="302">
        <f>Tableau853[[#This Row],[tCO2e]]/$B$1</f>
        <v>3.4051144535705794E-3</v>
      </c>
    </row>
    <row r="7" spans="1:5" x14ac:dyDescent="0.3">
      <c r="A7" t="str">
        <f>Tableau6[[#Headers],[ Infrastructure des logiciels Cyber]]</f>
        <v xml:space="preserve"> Infrastructure des logiciels Cyber</v>
      </c>
      <c r="B7" s="301">
        <f>Scope2_Solutions</f>
        <v>9.4553667676800011</v>
      </c>
      <c r="C7" s="301">
        <f>Scope3_Solutions</f>
        <v>4424.5835574042821</v>
      </c>
      <c r="D7" s="301">
        <f>SUM(Tableau853[[#This Row],[Champ d''application 2 (tCO2e)]:[Champ d''application 3 (tCO2e)]])</f>
        <v>4434.0389241719622</v>
      </c>
      <c r="E7" s="302">
        <f>Tableau853[[#This Row],[tCO2e]]/$B$1</f>
        <v>0.78896330361296374</v>
      </c>
    </row>
    <row r="8" spans="1:5" x14ac:dyDescent="0.3">
      <c r="A8" t="str">
        <f>Tableau6[[#Headers],[Services externes]]</f>
        <v>Services externes</v>
      </c>
      <c r="B8" s="301">
        <f>Scope2_External</f>
        <v>0</v>
      </c>
      <c r="C8" s="301">
        <f>Scope3_External</f>
        <v>391.38189693842082</v>
      </c>
      <c r="D8" s="301">
        <f>SUM(Tableau853[[#This Row],[Champ d''application 2 (tCO2e)]:[Champ d''application 3 (tCO2e)]])</f>
        <v>391.38189693842082</v>
      </c>
      <c r="E8" s="302">
        <f>Tableau853[[#This Row],[tCO2e]]/$B$1</f>
        <v>6.9639883560677004E-2</v>
      </c>
    </row>
    <row r="9" spans="1:5" x14ac:dyDescent="0.3">
      <c r="A9" t="str">
        <f>Tableau6[[#Headers],[Voyage]]</f>
        <v>Voyage</v>
      </c>
      <c r="B9" s="301">
        <f>Scope2_Travel</f>
        <v>0</v>
      </c>
      <c r="C9" s="301">
        <f>Scope3_Travel</f>
        <v>668.23728599999993</v>
      </c>
      <c r="D9" s="301">
        <f>SUM(Tableau853[[#This Row],[Champ d''application 2 (tCO2e)]:[Champ d''application 3 (tCO2e)]])</f>
        <v>668.23728599999993</v>
      </c>
      <c r="E9" s="302">
        <f>Tableau853[[#This Row],[tCO2e]]/$B$1</f>
        <v>0.1189016843956497</v>
      </c>
    </row>
    <row r="10" spans="1:5" x14ac:dyDescent="0.3">
      <c r="A10" t="str">
        <f>Tableau6[[#Headers],[Equipements Non-Cyber]]</f>
        <v>Equipements Non-Cyber</v>
      </c>
      <c r="B10" s="301" cm="1">
        <f t="array" ref="B10">Scope2_Non_Cyber</f>
        <v>16.915796818000004</v>
      </c>
      <c r="C10" s="301" cm="1">
        <f t="array" ref="C10">Scope3_Non_Cyber</f>
        <v>16.161091257333332</v>
      </c>
      <c r="D10" s="301">
        <f>SUM(Tableau853[[#This Row],[Champ d''application 2 (tCO2e)]:[Champ d''application 3 (tCO2e)]])</f>
        <v>33.076888075333336</v>
      </c>
      <c r="E10" s="302">
        <f>Tableau853[[#This Row],[tCO2e]]/$B$1</f>
        <v>5.8854807852244178E-3</v>
      </c>
    </row>
    <row r="12" spans="1:5" x14ac:dyDescent="0.3">
      <c r="A12" s="304" t="s">
        <v>420</v>
      </c>
      <c r="B12" s="304" t="s">
        <v>188</v>
      </c>
    </row>
    <row r="13" spans="1:5" x14ac:dyDescent="0.3">
      <c r="A13" t="s">
        <v>421</v>
      </c>
      <c r="B13" s="301">
        <f>Total_Scope2</f>
        <v>71.335594173320004</v>
      </c>
    </row>
    <row r="14" spans="1:5" x14ac:dyDescent="0.3">
      <c r="A14" t="s">
        <v>422</v>
      </c>
      <c r="B14" s="301">
        <f>Total_Scope3</f>
        <v>5546.1107854758293</v>
      </c>
    </row>
    <row r="22" spans="1:3" x14ac:dyDescent="0.3">
      <c r="A22" s="305" t="s">
        <v>423</v>
      </c>
      <c r="B22" s="306" t="s">
        <v>424</v>
      </c>
      <c r="C22" s="307" t="s">
        <v>188</v>
      </c>
    </row>
    <row r="23" spans="1:3" x14ac:dyDescent="0.3">
      <c r="A23" s="308" t="s">
        <v>429</v>
      </c>
      <c r="B23" s="309" t="s">
        <v>431</v>
      </c>
      <c r="C23" s="310">
        <f>Cartographie_des_résultats_non_cyber_par_sujet[[#Totals],[Poste de travail - Ordinateur portable]]/1000</f>
        <v>8.9435082954000009</v>
      </c>
    </row>
    <row r="24" spans="1:3" x14ac:dyDescent="0.3">
      <c r="A24" s="308" t="s">
        <v>429</v>
      </c>
      <c r="B24" s="309" t="s">
        <v>432</v>
      </c>
      <c r="C24" s="310">
        <f>Cartographie_des_résultats_non_cyber_par_sujet[[#Totals],[Poste de travail - Ordinateur de bureau]]/1000</f>
        <v>21.438808077999997</v>
      </c>
    </row>
    <row r="25" spans="1:3" x14ac:dyDescent="0.3">
      <c r="A25" s="308" t="s">
        <v>429</v>
      </c>
      <c r="B25" s="309" t="s">
        <v>433</v>
      </c>
      <c r="C25" s="310">
        <f>Cartographie_des_résultats_non_cyber_par_sujet[[#Totals],[Serveurs non Cyber]]/1000</f>
        <v>2.6945717019333335</v>
      </c>
    </row>
    <row r="26" spans="1:3" x14ac:dyDescent="0.3">
      <c r="A26" s="308" t="s">
        <v>429</v>
      </c>
      <c r="B26" s="309" t="s">
        <v>154</v>
      </c>
      <c r="C26" s="310">
        <f>Cartographie_des_résultats_non_cyber_par_sujet[[#Totals],[VDI]]/1000</f>
        <v>0</v>
      </c>
    </row>
    <row r="27" spans="1:3" x14ac:dyDescent="0.3">
      <c r="A27" s="308" t="s">
        <v>425</v>
      </c>
      <c r="B27" s="309" t="s">
        <v>434</v>
      </c>
      <c r="C27" s="310">
        <f>Cartographie_Serveurs_par_Resultats_par_Sujet[[#Totals],[Serveurs de sauvegarde]]/1000</f>
        <v>14.055627037626666</v>
      </c>
    </row>
    <row r="28" spans="1:3" x14ac:dyDescent="0.3">
      <c r="A28" s="308" t="s">
        <v>425</v>
      </c>
      <c r="B28" s="309" t="s">
        <v>435</v>
      </c>
      <c r="C28" s="310">
        <f>Cartographie_Serveurs_par_Resultats_par_Sujet[[#Totals],[Serveurs redondants]]/1000</f>
        <v>5.0813974085688889</v>
      </c>
    </row>
    <row r="29" spans="1:3" x14ac:dyDescent="0.3">
      <c r="A29" s="311" t="s">
        <v>444</v>
      </c>
      <c r="B29" s="309" t="s">
        <v>436</v>
      </c>
      <c r="C29" s="310">
        <f>'2.4 Carto Infra logiciels Cyber'!D30/1000</f>
        <v>19.632281171962681</v>
      </c>
    </row>
    <row r="30" spans="1:3" x14ac:dyDescent="0.3">
      <c r="A30" s="311" t="s">
        <v>444</v>
      </c>
      <c r="B30" s="309" t="s">
        <v>437</v>
      </c>
      <c r="C30" s="310">
        <f>'2.4 Carto Infra logiciels Cyber'!E30/1000</f>
        <v>4414.4066430000003</v>
      </c>
    </row>
    <row r="31" spans="1:3" x14ac:dyDescent="0.3">
      <c r="A31" s="311" t="s">
        <v>430</v>
      </c>
      <c r="B31" s="309" t="s">
        <v>790</v>
      </c>
      <c r="C31" s="310">
        <f>Cartographie_des_résultats_des_appareils_par_sujet[[#Totals],[Poste de travail - Ordinateur portable]]/1000</f>
        <v>14.991913557000002</v>
      </c>
    </row>
    <row r="32" spans="1:3" x14ac:dyDescent="0.3">
      <c r="A32" s="311" t="s">
        <v>430</v>
      </c>
      <c r="B32" s="309" t="s">
        <v>797</v>
      </c>
      <c r="C32" s="310">
        <f>Cartographie_des_résultats_des_appareils_par_sujet[[#Totals],[Poste de travail - Ordinateur de bureau]]/1000</f>
        <v>2.8052825650000006</v>
      </c>
    </row>
    <row r="33" spans="1:3" x14ac:dyDescent="0.3">
      <c r="A33" s="311" t="s">
        <v>430</v>
      </c>
      <c r="B33" s="309" t="s">
        <v>438</v>
      </c>
      <c r="C33" s="310">
        <f>Cartographie_des_résultats_des_appareils_par_sujet[[#Totals],[Écrans]]/1000</f>
        <v>5.3285125000000004</v>
      </c>
    </row>
    <row r="34" spans="1:3" x14ac:dyDescent="0.3">
      <c r="A34" s="311" t="s">
        <v>430</v>
      </c>
      <c r="B34" s="309" t="s">
        <v>117</v>
      </c>
      <c r="C34" s="310">
        <f>Cartographie_des_résultats_des_appareils_par_sujet[[#Totals],[Smartphones]]/1000</f>
        <v>0.64557516666666637</v>
      </c>
    </row>
    <row r="35" spans="1:3" x14ac:dyDescent="0.3">
      <c r="A35" s="311" t="s">
        <v>426</v>
      </c>
      <c r="B35" s="309" t="s">
        <v>190</v>
      </c>
      <c r="C35" s="310">
        <f>'2.2 Cartographie réseau'!H34/1000</f>
        <v>18.493701600000001</v>
      </c>
    </row>
    <row r="36" spans="1:3" x14ac:dyDescent="0.3">
      <c r="A36" s="311" t="s">
        <v>426</v>
      </c>
      <c r="B36" s="309" t="s">
        <v>439</v>
      </c>
      <c r="C36" s="310">
        <f>'2.2 Cartographie réseau'!H35/1000</f>
        <v>15.972790834285716</v>
      </c>
    </row>
    <row r="37" spans="1:3" x14ac:dyDescent="0.3">
      <c r="A37" s="311" t="s">
        <v>426</v>
      </c>
      <c r="B37" s="309" t="s">
        <v>191</v>
      </c>
      <c r="C37" s="310">
        <f>'2.2 Cartographie réseau'!H36/1000</f>
        <v>15.972790834285716</v>
      </c>
    </row>
    <row r="38" spans="1:3" x14ac:dyDescent="0.3">
      <c r="A38" s="311" t="s">
        <v>427</v>
      </c>
      <c r="B38" s="309" t="s">
        <v>440</v>
      </c>
      <c r="C38" s="310">
        <f>'2.5 Carto services externes'!D30/1000</f>
        <v>360.12147783483658</v>
      </c>
    </row>
    <row r="39" spans="1:3" x14ac:dyDescent="0.3">
      <c r="A39" s="311" t="s">
        <v>427</v>
      </c>
      <c r="B39" s="309" t="s">
        <v>441</v>
      </c>
      <c r="C39" s="310">
        <f>'2.5 Carto services externes'!E30/1000</f>
        <v>31.260419103584272</v>
      </c>
    </row>
    <row r="40" spans="1:3" x14ac:dyDescent="0.3">
      <c r="A40" s="311" t="s">
        <v>428</v>
      </c>
      <c r="B40" s="309" t="s">
        <v>442</v>
      </c>
      <c r="C40" s="310">
        <f>'2.6 Cartographie voyages'!F34/1000</f>
        <v>531.36312600000008</v>
      </c>
    </row>
    <row r="41" spans="1:3" ht="15" customHeight="1" x14ac:dyDescent="0.3">
      <c r="A41" s="311" t="s">
        <v>428</v>
      </c>
      <c r="B41" s="309" t="s">
        <v>443</v>
      </c>
      <c r="C41" s="310">
        <f>'2.6 Cartographie voyages'!F35/1000</f>
        <v>38.830548</v>
      </c>
    </row>
    <row r="42" spans="1:3" ht="15" customHeight="1" x14ac:dyDescent="0.3">
      <c r="A42" s="312" t="s">
        <v>428</v>
      </c>
      <c r="B42" s="313" t="s">
        <v>146</v>
      </c>
      <c r="C42" s="314">
        <f>'2.6 Cartographie voyages'!F36/1000</f>
        <v>98.04361200000001</v>
      </c>
    </row>
    <row r="43" spans="1:3" ht="15" customHeight="1" x14ac:dyDescent="0.3"/>
    <row r="44" spans="1:3" ht="15" customHeight="1" x14ac:dyDescent="0.3"/>
    <row r="45" spans="1:3" ht="15" customHeight="1" x14ac:dyDescent="0.3"/>
    <row r="46" spans="1:3" ht="15" customHeight="1" x14ac:dyDescent="0.3"/>
    <row r="47" spans="1:3" ht="15" customHeight="1" x14ac:dyDescent="0.3"/>
    <row r="48" spans="1:3"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sheetData>
  <phoneticPr fontId="12" type="noConversion"/>
  <pageMargins left="0.7" right="0.7" top="0.75" bottom="0.75" header="0.3" footer="0.3"/>
  <drawing r:id="rId1"/>
  <tableParts count="3">
    <tablePart r:id="rId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2F99-3CC7-4631-825D-42471EEC92B9}">
  <sheetPr>
    <tabColor theme="5" tint="-0.249977111117893"/>
  </sheetPr>
  <dimension ref="A1:W12"/>
  <sheetViews>
    <sheetView showGridLines="0" zoomScale="70" zoomScaleNormal="70" workbookViewId="0">
      <selection activeCell="C33" sqref="C33"/>
    </sheetView>
  </sheetViews>
  <sheetFormatPr baseColWidth="10" defaultColWidth="8.75" defaultRowHeight="14" x14ac:dyDescent="0.3"/>
  <cols>
    <col min="1" max="1" width="21.33203125" style="3" customWidth="1"/>
    <col min="2" max="2" width="13.9140625" style="63" customWidth="1"/>
    <col min="3" max="3" width="15.4140625" style="3" customWidth="1"/>
    <col min="4" max="4" width="15.4140625" style="63" customWidth="1"/>
    <col min="5" max="5" width="24.1640625" style="3" customWidth="1"/>
    <col min="6" max="6" width="33.1640625" style="63" customWidth="1"/>
    <col min="7" max="7" width="23.83203125" style="3" customWidth="1"/>
    <col min="8" max="8" width="18.9140625" style="63" customWidth="1"/>
    <col min="9" max="9" width="19.5" style="3" customWidth="1"/>
    <col min="10" max="10" width="15.75" style="63" customWidth="1"/>
    <col min="11" max="11" width="17.5" style="3" customWidth="1"/>
    <col min="12" max="12" width="16.1640625" style="63" customWidth="1"/>
    <col min="13" max="13" width="26.4140625" style="63" customWidth="1"/>
    <col min="14" max="14" width="18.58203125" style="63" customWidth="1"/>
    <col min="15" max="15" width="3.1640625" style="315" customWidth="1"/>
    <col min="16" max="16" width="56.9140625" style="3" customWidth="1"/>
    <col min="17" max="17" width="8.75" style="3"/>
    <col min="18" max="18" width="3.1640625" style="315" customWidth="1"/>
    <col min="19" max="19" width="27.1640625" style="3" customWidth="1"/>
    <col min="20" max="20" width="5.75" style="3" customWidth="1"/>
    <col min="21" max="21" width="5.1640625" style="3" customWidth="1"/>
    <col min="22" max="22" width="31.75" style="3" customWidth="1"/>
    <col min="23" max="23" width="5.75" style="3" customWidth="1"/>
    <col min="24" max="16384" width="8.75" style="3"/>
  </cols>
  <sheetData>
    <row r="1" spans="1:23" ht="23.5" thickBot="1" x14ac:dyDescent="0.35">
      <c r="A1" s="132" t="s">
        <v>32</v>
      </c>
    </row>
    <row r="2" spans="1:23" ht="14.5" x14ac:dyDescent="0.3">
      <c r="A2" s="64"/>
      <c r="P2" s="64" t="s">
        <v>405</v>
      </c>
      <c r="S2" s="64" t="s">
        <v>192</v>
      </c>
    </row>
    <row r="3" spans="1:23" ht="77.5" customHeight="1" x14ac:dyDescent="0.3">
      <c r="A3" s="316" t="s">
        <v>798</v>
      </c>
      <c r="B3" s="316" t="s">
        <v>406</v>
      </c>
      <c r="C3" s="316" t="s">
        <v>415</v>
      </c>
      <c r="D3" s="316" t="s">
        <v>407</v>
      </c>
      <c r="E3" s="316" t="s">
        <v>408</v>
      </c>
      <c r="F3" s="316" t="s">
        <v>409</v>
      </c>
      <c r="G3" s="316" t="s">
        <v>416</v>
      </c>
      <c r="H3" s="316" t="s">
        <v>410</v>
      </c>
      <c r="I3" s="316" t="s">
        <v>460</v>
      </c>
      <c r="J3" s="316" t="s">
        <v>411</v>
      </c>
      <c r="K3" s="316" t="s">
        <v>743</v>
      </c>
      <c r="L3" s="316" t="s">
        <v>412</v>
      </c>
      <c r="M3" s="316" t="s">
        <v>413</v>
      </c>
      <c r="N3" s="316" t="s">
        <v>414</v>
      </c>
      <c r="P3" s="65" t="s">
        <v>193</v>
      </c>
      <c r="Q3" s="65" t="s">
        <v>189</v>
      </c>
      <c r="S3" s="66" t="s">
        <v>194</v>
      </c>
      <c r="T3" s="317" t="s">
        <v>195</v>
      </c>
      <c r="V3" s="66" t="s">
        <v>196</v>
      </c>
      <c r="W3" s="317"/>
    </row>
    <row r="4" spans="1:23" ht="122.25" customHeight="1" x14ac:dyDescent="0.3">
      <c r="A4" s="220">
        <f>SUMIF(Tableau_de_bord_par_contrôle[Contrôle NIST],$A$1,Tableau_de_bord_par_contrôle[Émissions des appareils Cyber kgCO2e])/(Total*1000)</f>
        <v>0</v>
      </c>
      <c r="B4" s="221" t="str" cm="1">
        <f t="array" ref="B4">IF(
_xlfn.CONCAT(_xlfn._xlws.FILTER(Tableau_de_bord_par_contrôle[Détails des appareils Cyber],Tableau_de_bord_par_contrôle[Contrôle NIST]=A1))="","No devices",
_xlfn.CONCAT(_xlfn._xlws.FILTER(Tableau_de_bord_par_contrôle[Détails des appareils Cyber],Tableau_de_bord_par_contrôle[Contrôle NIST]=A1)))</f>
        <v>No devices</v>
      </c>
      <c r="C4" s="220">
        <f>SUMIF(Tableau_de_bord_par_contrôle[Contrôle NIST],$A$1,Tableau_de_bord_par_contrôle[Émissions du réseau  kgCO2e])/(Total*1000)</f>
        <v>0</v>
      </c>
      <c r="D4" s="221" t="str" cm="1">
        <f t="array" ref="D4">IF(
_xlfn.CONCAT(_xlfn._xlws.FILTER(Tableau_de_bord_par_contrôle[Détail du réseau],Tableau_de_bord_par_contrôle[Contrôle NIST]=A1))="","No network",
_xlfn.CONCAT(_xlfn._xlws.FILTER(Tableau_de_bord_par_contrôle[Détail du réseau],Tableau_de_bord_par_contrôle[Contrôle NIST]=A1)))</f>
        <v>No network</v>
      </c>
      <c r="E4" s="220">
        <f>SUMIF(Tableau_de_bord_par_contrôle[Contrôle NIST],$A$1,Tableau_de_bord_par_contrôle[Émissions des serveurs de sauvegarde  kgCO2e])/(Total*1000)</f>
        <v>0</v>
      </c>
      <c r="F4" s="221" t="str" cm="1">
        <f t="array" ref="F4">IF(
_xlfn.CONCAT(_xlfn._xlws.FILTER(Tableau_de_bord_par_contrôle[Détails des serveurs de sauvegarde],Tableau_de_bord_par_contrôle[Contrôle NIST]=A1))="","No server on-premise",
_xlfn.CONCAT(_xlfn._xlws.FILTER(Tableau_de_bord_par_contrôle[Détails des serveurs de sauvegarde],Tableau_de_bord_par_contrôle[Contrôle NIST]=A1)))</f>
        <v>No server on-premise</v>
      </c>
      <c r="G4" s="220">
        <f>SUMIF(Tableau_de_bord_par_contrôle[Contrôle NIST],$A$1,Tableau_de_bord_par_contrôle[Émissions de l''Infra des logiciels Cyber kgCO2e])/(Total*1000)</f>
        <v>0</v>
      </c>
      <c r="H4" s="221" t="str" cm="1">
        <f t="array" ref="H4">IF(
_xlfn.CONCAT(_xlfn._xlws.FILTER(Tableau_de_bord_par_contrôle[Détail de l''Infra des logiciels Cyber],Tableau_de_bord_par_contrôle[Contrôle NIST]=A1))="","No cyber solution",
_xlfn.CONCAT(_xlfn._xlws.FILTER(Tableau_de_bord_par_contrôle[Détail de l''Infra des logiciels Cyber],Tableau_de_bord_par_contrôle[Contrôle NIST]=A1)))</f>
        <v>No cyber solution</v>
      </c>
      <c r="I4" s="220">
        <f>SUMIF(Tableau_de_bord_par_contrôle[Contrôle NIST],$A$1,Tableau_de_bord_par_contrôle[Émissions des services externes kgCO2e])/(Total*1000)</f>
        <v>0</v>
      </c>
      <c r="J4" s="221" t="str" cm="1">
        <f t="array" ref="J4">IF(
_xlfn.CONCAT(_xlfn._xlws.FILTER(Tableau_de_bord_par_contrôle[Détails des services externes],Tableau_de_bord_par_contrôle[Contrôle NIST]=A1))="","No external services",
_xlfn.CONCAT(_xlfn._xlws.FILTER(Tableau_de_bord_par_contrôle[Détails des services externes],Tableau_de_bord_par_contrôle[Contrôle NIST]=A1)))</f>
        <v>No external services</v>
      </c>
      <c r="K4" s="220">
        <f>SUMIF(Tableau_de_bord_par_contrôle[Contrôle NIST],$A$1,Tableau_de_bord_par_contrôle[Émissions liées aux voyages kgCO2e])/(Total*1000)</f>
        <v>0</v>
      </c>
      <c r="L4" s="221" t="str" cm="1">
        <f t="array" ref="L4">IF(
_xlfn.CONCAT(_xlfn._xlws.FILTER(Tableau_de_bord_par_contrôle[Détail des voyages],Tableau_de_bord_par_contrôle[Contrôle NIST]=A1))="","No travel",
_xlfn.CONCAT(_xlfn._xlws.FILTER(Tableau_de_bord_par_contrôle[Détail des voyages],Tableau_de_bord_par_contrôle[Contrôle NIST]=A1)))</f>
        <v>No travel</v>
      </c>
      <c r="M4" s="220">
        <f>SUMIF(Tableau_de_bord_par_contrôle[Contrôle NIST],$A$1,Tableau_de_bord_par_contrôle[Émissions des équipements Non cyber kgCO2e2])/(Total*1000)</f>
        <v>0</v>
      </c>
      <c r="N4" s="221" t="str" cm="1">
        <f t="array" ref="N4">IF(
_xlfn.CONCAT(_xlfn._xlws.FILTER(Tableau_de_bord_par_contrôle[Détail des équipements Non-Cyber],Tableau_de_bord_par_contrôle[Contrôle NIST]=A1))="","No non-cyber equipment",
_xlfn.CONCAT(_xlfn._xlws.FILTER(Tableau_de_bord_par_contrôle[Détail des équipements Non-Cyber],Tableau_de_bord_par_contrôle[Contrôle NIST]=A1)))</f>
        <v>No non-cyber equipment</v>
      </c>
      <c r="P4" s="318" t="s">
        <v>197</v>
      </c>
      <c r="Q4" s="67">
        <v>0.03</v>
      </c>
      <c r="T4" s="68"/>
      <c r="W4" s="319"/>
    </row>
    <row r="5" spans="1:23" x14ac:dyDescent="0.3">
      <c r="A5" s="258"/>
      <c r="B5" s="222"/>
      <c r="C5" s="258"/>
      <c r="D5" s="222"/>
      <c r="E5" s="258"/>
      <c r="F5" s="222"/>
      <c r="G5" s="258"/>
      <c r="H5" s="222"/>
      <c r="I5" s="258"/>
      <c r="J5" s="222"/>
      <c r="K5" s="258"/>
      <c r="L5" s="222"/>
      <c r="M5" s="222"/>
      <c r="N5" s="222"/>
      <c r="P5" s="69" t="s">
        <v>147</v>
      </c>
      <c r="Q5" s="70">
        <f>SUM(Q4:Q4)</f>
        <v>0.03</v>
      </c>
      <c r="S5" s="44"/>
      <c r="T5" s="70">
        <f>SUM(T4:T4)</f>
        <v>0</v>
      </c>
      <c r="U5" s="44"/>
      <c r="V5" s="44"/>
      <c r="W5" s="70">
        <f>SUM(W4:W4)</f>
        <v>0</v>
      </c>
    </row>
    <row r="6" spans="1:23" x14ac:dyDescent="0.3">
      <c r="A6" s="258"/>
      <c r="B6" s="222"/>
      <c r="C6" s="258"/>
      <c r="D6" s="222"/>
      <c r="E6" s="258"/>
      <c r="F6" s="222"/>
      <c r="G6" s="258"/>
      <c r="H6" s="222"/>
      <c r="I6" s="258"/>
      <c r="J6" s="222"/>
      <c r="K6" s="258"/>
      <c r="L6" s="222"/>
      <c r="M6" s="222"/>
      <c r="N6" s="222"/>
    </row>
    <row r="7" spans="1:23" x14ac:dyDescent="0.3">
      <c r="A7" s="258"/>
      <c r="B7" s="222"/>
      <c r="C7" s="258"/>
      <c r="D7" s="222"/>
      <c r="E7" s="258"/>
      <c r="F7" s="222"/>
      <c r="G7" s="258"/>
      <c r="H7" s="222"/>
      <c r="I7" s="258"/>
      <c r="J7" s="222"/>
      <c r="K7" s="258"/>
      <c r="L7" s="222"/>
      <c r="M7" s="222"/>
      <c r="N7" s="222"/>
    </row>
    <row r="8" spans="1:23" x14ac:dyDescent="0.3">
      <c r="A8" s="258"/>
      <c r="B8" s="222"/>
      <c r="C8" s="258"/>
      <c r="D8" s="222"/>
      <c r="E8" s="258"/>
      <c r="F8" s="222"/>
      <c r="G8" s="258"/>
      <c r="H8" s="222"/>
      <c r="I8" s="258"/>
      <c r="J8" s="222"/>
      <c r="K8" s="258"/>
      <c r="L8" s="222"/>
      <c r="M8" s="222"/>
      <c r="N8" s="222"/>
    </row>
    <row r="9" spans="1:23" x14ac:dyDescent="0.3">
      <c r="A9" s="258"/>
      <c r="B9" s="222"/>
      <c r="C9" s="258"/>
      <c r="D9" s="222"/>
      <c r="E9" s="258"/>
      <c r="F9" s="222"/>
      <c r="G9" s="258"/>
      <c r="H9" s="222"/>
      <c r="I9" s="258"/>
      <c r="J9" s="222"/>
      <c r="K9" s="258"/>
      <c r="L9" s="222"/>
      <c r="M9" s="222"/>
      <c r="N9" s="222"/>
    </row>
    <row r="10" spans="1:23" x14ac:dyDescent="0.3">
      <c r="A10" s="258"/>
      <c r="B10" s="222"/>
      <c r="C10" s="258"/>
      <c r="D10" s="222"/>
      <c r="E10" s="258"/>
      <c r="F10" s="222"/>
      <c r="G10" s="258"/>
      <c r="H10" s="222"/>
      <c r="I10" s="258"/>
      <c r="J10" s="222"/>
      <c r="K10" s="258"/>
      <c r="L10" s="222"/>
      <c r="M10" s="222"/>
      <c r="N10" s="222"/>
    </row>
    <row r="11" spans="1:23" x14ac:dyDescent="0.3">
      <c r="A11" s="258"/>
      <c r="B11" s="222"/>
      <c r="C11" s="258"/>
      <c r="D11" s="222"/>
      <c r="E11" s="258"/>
      <c r="F11" s="222"/>
      <c r="G11" s="258"/>
      <c r="H11" s="222"/>
      <c r="I11" s="258"/>
      <c r="J11" s="222"/>
      <c r="K11" s="258"/>
      <c r="L11" s="222"/>
      <c r="M11" s="222"/>
      <c r="N11" s="222"/>
    </row>
    <row r="12" spans="1:23" x14ac:dyDescent="0.3">
      <c r="A12" s="258"/>
      <c r="B12" s="222"/>
      <c r="C12" s="258"/>
      <c r="D12" s="222"/>
      <c r="E12" s="258"/>
      <c r="F12" s="222"/>
      <c r="G12" s="258"/>
      <c r="H12" s="222"/>
      <c r="I12" s="258"/>
      <c r="J12" s="222"/>
      <c r="K12" s="258"/>
      <c r="L12" s="222"/>
      <c r="M12" s="222"/>
      <c r="N12" s="222"/>
    </row>
  </sheetData>
  <pageMargins left="0.7" right="0.7" top="0.75" bottom="0.75" header="0.3" footer="0.3"/>
  <pageSetup paperSize="9" orientation="portrait" r:id="rId1"/>
  <ignoredErrors>
    <ignoredError sqref="D4"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20B3-5828-49EA-B24A-53521879710C}">
  <sheetPr>
    <tabColor theme="2"/>
  </sheetPr>
  <dimension ref="A1:D128"/>
  <sheetViews>
    <sheetView showGridLines="0" zoomScale="79" zoomScaleNormal="40" workbookViewId="0">
      <selection activeCell="C31" sqref="C31"/>
    </sheetView>
  </sheetViews>
  <sheetFormatPr baseColWidth="10" defaultColWidth="11.4140625" defaultRowHeight="14" x14ac:dyDescent="0.3"/>
  <cols>
    <col min="1" max="1" width="45.58203125" customWidth="1"/>
    <col min="2" max="2" width="41.1640625" customWidth="1"/>
    <col min="3" max="3" width="53.4140625" customWidth="1"/>
    <col min="4" max="4" width="50.5" customWidth="1"/>
    <col min="5" max="5" width="28.1640625" customWidth="1"/>
    <col min="6" max="6" width="36.83203125" customWidth="1"/>
    <col min="7" max="7" width="42.58203125" customWidth="1"/>
    <col min="8" max="8" width="17.58203125" customWidth="1"/>
  </cols>
  <sheetData>
    <row r="1" spans="1:4" s="263" customFormat="1" ht="51.5" customHeight="1" x14ac:dyDescent="0.5">
      <c r="A1" s="331" t="s">
        <v>814</v>
      </c>
      <c r="B1" s="331"/>
      <c r="C1" s="331"/>
      <c r="D1" s="331"/>
    </row>
    <row r="2" spans="1:4" s="262" customFormat="1" ht="23" x14ac:dyDescent="0.45">
      <c r="A2" s="332" t="s">
        <v>813</v>
      </c>
      <c r="B2" s="332"/>
      <c r="C2" s="332"/>
      <c r="D2" s="332"/>
    </row>
    <row r="4" spans="1:4" x14ac:dyDescent="0.3">
      <c r="A4" s="259" t="s">
        <v>300</v>
      </c>
    </row>
    <row r="6" spans="1:4" x14ac:dyDescent="0.3">
      <c r="B6" s="98" t="s">
        <v>748</v>
      </c>
      <c r="C6" s="98" t="s">
        <v>756</v>
      </c>
    </row>
    <row r="7" spans="1:4" x14ac:dyDescent="0.3">
      <c r="B7" s="116" t="s">
        <v>749</v>
      </c>
      <c r="C7" s="253" t="s">
        <v>822</v>
      </c>
    </row>
    <row r="8" spans="1:4" x14ac:dyDescent="0.3">
      <c r="B8" s="254" t="s">
        <v>750</v>
      </c>
      <c r="C8" s="253" t="s">
        <v>823</v>
      </c>
    </row>
    <row r="9" spans="1:4" x14ac:dyDescent="0.3">
      <c r="B9" s="255" t="s">
        <v>751</v>
      </c>
      <c r="C9" s="253" t="s">
        <v>826</v>
      </c>
    </row>
    <row r="10" spans="1:4" x14ac:dyDescent="0.3">
      <c r="B10" s="256" t="s">
        <v>752</v>
      </c>
      <c r="C10" s="253" t="s">
        <v>825</v>
      </c>
    </row>
    <row r="11" spans="1:4" x14ac:dyDescent="0.3">
      <c r="B11" s="257" t="s">
        <v>753</v>
      </c>
      <c r="C11" s="253" t="s">
        <v>824</v>
      </c>
    </row>
    <row r="12" spans="1:4" x14ac:dyDescent="0.3">
      <c r="B12" s="123" t="s">
        <v>754</v>
      </c>
      <c r="C12" s="253" t="s">
        <v>821</v>
      </c>
    </row>
    <row r="14" spans="1:4" x14ac:dyDescent="0.3">
      <c r="A14" s="259" t="s">
        <v>301</v>
      </c>
    </row>
    <row r="16" spans="1:4" x14ac:dyDescent="0.3">
      <c r="B16" s="98" t="s">
        <v>757</v>
      </c>
      <c r="C16" s="98" t="s">
        <v>748</v>
      </c>
      <c r="D16" s="98" t="s">
        <v>581</v>
      </c>
    </row>
    <row r="17" spans="2:4" x14ac:dyDescent="0.3">
      <c r="B17" s="325" t="s">
        <v>750</v>
      </c>
      <c r="C17" s="258" t="s">
        <v>759</v>
      </c>
      <c r="D17" s="253" t="s">
        <v>758</v>
      </c>
    </row>
    <row r="18" spans="2:4" x14ac:dyDescent="0.3">
      <c r="B18" s="326"/>
      <c r="C18" s="258" t="s">
        <v>430</v>
      </c>
      <c r="D18" s="253" t="s">
        <v>758</v>
      </c>
    </row>
    <row r="19" spans="2:4" ht="14.5" customHeight="1" x14ac:dyDescent="0.3">
      <c r="B19" s="326"/>
      <c r="C19" s="258" t="s">
        <v>426</v>
      </c>
      <c r="D19" s="253" t="s">
        <v>758</v>
      </c>
    </row>
    <row r="20" spans="2:4" x14ac:dyDescent="0.3">
      <c r="B20" s="326"/>
      <c r="C20" s="258" t="s">
        <v>445</v>
      </c>
      <c r="D20" s="253" t="s">
        <v>758</v>
      </c>
    </row>
    <row r="21" spans="2:4" x14ac:dyDescent="0.3">
      <c r="B21" s="326"/>
      <c r="C21" s="258" t="s">
        <v>760</v>
      </c>
      <c r="D21" s="253" t="s">
        <v>758</v>
      </c>
    </row>
    <row r="22" spans="2:4" x14ac:dyDescent="0.3">
      <c r="B22" s="326"/>
      <c r="C22" s="258" t="s">
        <v>427</v>
      </c>
      <c r="D22" s="253" t="s">
        <v>758</v>
      </c>
    </row>
    <row r="23" spans="2:4" x14ac:dyDescent="0.3">
      <c r="B23" s="326"/>
      <c r="C23" s="258" t="s">
        <v>428</v>
      </c>
      <c r="D23" s="253" t="s">
        <v>758</v>
      </c>
    </row>
    <row r="24" spans="2:4" x14ac:dyDescent="0.3">
      <c r="B24" s="327"/>
      <c r="C24" s="258" t="s">
        <v>447</v>
      </c>
      <c r="D24" s="253" t="s">
        <v>758</v>
      </c>
    </row>
    <row r="25" spans="2:4" x14ac:dyDescent="0.3">
      <c r="B25" s="328" t="s">
        <v>751</v>
      </c>
      <c r="C25" s="258" t="s">
        <v>761</v>
      </c>
      <c r="D25" s="253" t="s">
        <v>758</v>
      </c>
    </row>
    <row r="26" spans="2:4" x14ac:dyDescent="0.3">
      <c r="B26" s="328"/>
      <c r="C26" s="258" t="s">
        <v>762</v>
      </c>
      <c r="D26" s="253" t="s">
        <v>758</v>
      </c>
    </row>
    <row r="27" spans="2:4" x14ac:dyDescent="0.3">
      <c r="B27" s="328"/>
      <c r="C27" s="258" t="s">
        <v>763</v>
      </c>
      <c r="D27" s="253" t="s">
        <v>758</v>
      </c>
    </row>
    <row r="28" spans="2:4" x14ac:dyDescent="0.3">
      <c r="B28" s="328"/>
      <c r="C28" s="258" t="s">
        <v>827</v>
      </c>
      <c r="D28" s="253" t="s">
        <v>758</v>
      </c>
    </row>
    <row r="29" spans="2:4" x14ac:dyDescent="0.3">
      <c r="B29" s="328"/>
      <c r="C29" s="258" t="s">
        <v>764</v>
      </c>
      <c r="D29" s="253" t="s">
        <v>758</v>
      </c>
    </row>
    <row r="30" spans="2:4" x14ac:dyDescent="0.3">
      <c r="B30" s="328"/>
      <c r="C30" s="258" t="s">
        <v>765</v>
      </c>
      <c r="D30" s="253" t="s">
        <v>758</v>
      </c>
    </row>
    <row r="31" spans="2:4" ht="14.5" customHeight="1" x14ac:dyDescent="0.3">
      <c r="B31" s="328"/>
      <c r="C31" s="258" t="s">
        <v>766</v>
      </c>
      <c r="D31" s="253" t="s">
        <v>758</v>
      </c>
    </row>
    <row r="32" spans="2:4" x14ac:dyDescent="0.3">
      <c r="B32" s="329" t="s">
        <v>752</v>
      </c>
      <c r="C32" s="258" t="s">
        <v>767</v>
      </c>
      <c r="D32" s="253"/>
    </row>
    <row r="33" spans="1:4" x14ac:dyDescent="0.3">
      <c r="B33" s="329"/>
      <c r="C33" s="258" t="s">
        <v>768</v>
      </c>
      <c r="D33" s="253"/>
    </row>
    <row r="34" spans="1:4" x14ac:dyDescent="0.3">
      <c r="B34" s="329"/>
      <c r="C34" s="258" t="s">
        <v>769</v>
      </c>
      <c r="D34" s="253" t="s">
        <v>758</v>
      </c>
    </row>
    <row r="35" spans="1:4" x14ac:dyDescent="0.3">
      <c r="B35" s="330" t="s">
        <v>753</v>
      </c>
      <c r="C35" s="258" t="s">
        <v>770</v>
      </c>
      <c r="D35" s="253"/>
    </row>
    <row r="36" spans="1:4" x14ac:dyDescent="0.3">
      <c r="B36" s="330"/>
      <c r="C36" s="258" t="s">
        <v>771</v>
      </c>
      <c r="D36" s="253"/>
    </row>
    <row r="37" spans="1:4" x14ac:dyDescent="0.3">
      <c r="B37" s="330"/>
      <c r="C37" s="258" t="s">
        <v>772</v>
      </c>
      <c r="D37" s="253"/>
    </row>
    <row r="38" spans="1:4" x14ac:dyDescent="0.3">
      <c r="B38" s="124" t="s">
        <v>755</v>
      </c>
      <c r="C38" s="258" t="s">
        <v>773</v>
      </c>
      <c r="D38" s="253"/>
    </row>
    <row r="40" spans="1:4" x14ac:dyDescent="0.3">
      <c r="A40" s="259" t="s">
        <v>787</v>
      </c>
    </row>
    <row r="42" spans="1:4" x14ac:dyDescent="0.3">
      <c r="A42" s="260" t="s">
        <v>215</v>
      </c>
      <c r="B42" s="125"/>
    </row>
    <row r="44" spans="1:4" x14ac:dyDescent="0.3">
      <c r="B44" s="261" t="s">
        <v>216</v>
      </c>
    </row>
    <row r="45" spans="1:4" ht="42" x14ac:dyDescent="0.3">
      <c r="B45" s="224" t="s">
        <v>231</v>
      </c>
    </row>
    <row r="46" spans="1:4" ht="42" x14ac:dyDescent="0.3">
      <c r="B46" s="225" t="s">
        <v>228</v>
      </c>
    </row>
    <row r="47" spans="1:4" ht="42" x14ac:dyDescent="0.3">
      <c r="B47" s="226" t="s">
        <v>229</v>
      </c>
    </row>
    <row r="48" spans="1:4" x14ac:dyDescent="0.3">
      <c r="B48" s="117" t="s">
        <v>225</v>
      </c>
    </row>
    <row r="92" spans="1:2" x14ac:dyDescent="0.3">
      <c r="A92" s="260" t="s">
        <v>620</v>
      </c>
      <c r="B92" s="125"/>
    </row>
    <row r="124" spans="1:1" x14ac:dyDescent="0.3">
      <c r="A124" s="259" t="s">
        <v>745</v>
      </c>
    </row>
    <row r="125" spans="1:1" x14ac:dyDescent="0.3">
      <c r="A125" t="s">
        <v>746</v>
      </c>
    </row>
    <row r="126" spans="1:1" x14ac:dyDescent="0.3">
      <c r="A126" t="s">
        <v>815</v>
      </c>
    </row>
    <row r="127" spans="1:1" x14ac:dyDescent="0.3">
      <c r="A127" t="s">
        <v>802</v>
      </c>
    </row>
    <row r="128" spans="1:1" x14ac:dyDescent="0.3">
      <c r="A128" t="s">
        <v>747</v>
      </c>
    </row>
  </sheetData>
  <mergeCells count="6">
    <mergeCell ref="B17:B24"/>
    <mergeCell ref="B25:B31"/>
    <mergeCell ref="B32:B34"/>
    <mergeCell ref="B35:B37"/>
    <mergeCell ref="A1:D1"/>
    <mergeCell ref="A2:D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9828-CBB8-4527-A544-F7D729A946AF}">
  <sheetPr>
    <tabColor theme="9" tint="0.79998168889431442"/>
  </sheetPr>
  <dimension ref="A2:E30"/>
  <sheetViews>
    <sheetView showGridLines="0" zoomScale="75" zoomScaleNormal="55" workbookViewId="0">
      <selection activeCell="N12" sqref="N12"/>
    </sheetView>
  </sheetViews>
  <sheetFormatPr baseColWidth="10" defaultColWidth="8.75" defaultRowHeight="14" x14ac:dyDescent="0.3"/>
  <cols>
    <col min="1" max="1" width="36.08203125" customWidth="1"/>
    <col min="2" max="2" width="33.4140625" customWidth="1"/>
    <col min="3" max="3" width="38.4140625" customWidth="1"/>
    <col min="4" max="4" width="65.1640625" customWidth="1"/>
  </cols>
  <sheetData>
    <row r="2" spans="1:5" ht="15.5" x14ac:dyDescent="0.35">
      <c r="A2" s="127" t="s">
        <v>215</v>
      </c>
    </row>
    <row r="3" spans="1:5" x14ac:dyDescent="0.3">
      <c r="B3" s="268" t="s">
        <v>216</v>
      </c>
    </row>
    <row r="4" spans="1:5" ht="42" x14ac:dyDescent="0.3">
      <c r="B4" s="224" t="s">
        <v>227</v>
      </c>
    </row>
    <row r="5" spans="1:5" ht="56" x14ac:dyDescent="0.3">
      <c r="B5" s="225" t="s">
        <v>228</v>
      </c>
    </row>
    <row r="6" spans="1:5" ht="42" x14ac:dyDescent="0.3">
      <c r="B6" s="226" t="s">
        <v>229</v>
      </c>
    </row>
    <row r="7" spans="1:5" ht="42" x14ac:dyDescent="0.3">
      <c r="B7" s="227" t="s">
        <v>230</v>
      </c>
    </row>
    <row r="8" spans="1:5" x14ac:dyDescent="0.3">
      <c r="B8" s="117" t="s">
        <v>225</v>
      </c>
    </row>
    <row r="12" spans="1:5" ht="35" customHeight="1" x14ac:dyDescent="0.3">
      <c r="B12" s="333" t="s">
        <v>303</v>
      </c>
      <c r="C12" s="334"/>
      <c r="D12" s="237">
        <f>SUMPRODUCT(Emplacement_du_personnel_Global[% ou nombre d''internes dans ce pays],Emplacement_du_personnel_Global[Intensité carbone du mix électrique par zone géographique (kgCO2e/kWh)])/SUM(Emplacement_du_personnel_Global[% ou nombre d''internes dans ce pays])</f>
        <v>0.47659000000000001</v>
      </c>
    </row>
    <row r="13" spans="1:5" ht="32" customHeight="1" x14ac:dyDescent="0.3">
      <c r="B13" s="333" t="s">
        <v>803</v>
      </c>
      <c r="C13" s="334"/>
      <c r="D13" s="237">
        <f>SUMPRODUCT(Emplacement_du_personnel_Cyber[% ou nombre d''internes dans ce pays],Emplacement_du_personnel_Cyber[Intensité carbone du mix électrique par zone géographique (kgCO2e/kWh)])/SUM(Emplacement_du_personnel_Cyber[% ou nombre d''internes dans ce pays])</f>
        <v>0.37575000000000003</v>
      </c>
    </row>
    <row r="14" spans="1:5" x14ac:dyDescent="0.3">
      <c r="E14" s="26"/>
    </row>
    <row r="15" spans="1:5" x14ac:dyDescent="0.3">
      <c r="E15" s="26"/>
    </row>
    <row r="16" spans="1:5" x14ac:dyDescent="0.3">
      <c r="A16" s="269" t="s">
        <v>816</v>
      </c>
      <c r="E16" s="26"/>
    </row>
    <row r="17" spans="1:5" x14ac:dyDescent="0.3">
      <c r="B17" s="264" t="s">
        <v>158</v>
      </c>
      <c r="C17" s="265" t="s">
        <v>304</v>
      </c>
      <c r="D17" s="46" t="s">
        <v>817</v>
      </c>
      <c r="E17" s="26"/>
    </row>
    <row r="18" spans="1:5" x14ac:dyDescent="0.3">
      <c r="B18" s="145" t="s">
        <v>310</v>
      </c>
      <c r="C18" s="146">
        <v>0.33</v>
      </c>
      <c r="D18" s="266">
        <f>IFERROR(VLOOKUP(Emplacement_du_personnel_Global[[#This Row],[Pays]],Mix_électrique[],2,FALSE),0)</f>
        <v>0.58399999999999996</v>
      </c>
      <c r="E18" s="26"/>
    </row>
    <row r="19" spans="1:5" x14ac:dyDescent="0.3">
      <c r="B19" s="145" t="s">
        <v>334</v>
      </c>
      <c r="C19" s="146">
        <v>0.33</v>
      </c>
      <c r="D19" s="266">
        <f>IFERROR(VLOOKUP(Emplacement_du_personnel_Global[[#This Row],[Pays]],Mix_électrique[],2,FALSE),0)</f>
        <v>7.0999999999999994E-2</v>
      </c>
      <c r="E19" s="26"/>
    </row>
    <row r="20" spans="1:5" x14ac:dyDescent="0.3">
      <c r="B20" s="145" t="s">
        <v>320</v>
      </c>
      <c r="C20" s="146">
        <v>0.34</v>
      </c>
      <c r="D20" s="266">
        <f>IFERROR(VLOOKUP(Emplacement_du_personnel_Global[[#This Row],[Pays]],Mix_électrique[],2,FALSE),0)</f>
        <v>0.76600000000000001</v>
      </c>
      <c r="E20" s="26"/>
    </row>
    <row r="25" spans="1:5" x14ac:dyDescent="0.3">
      <c r="A25" s="269" t="s">
        <v>302</v>
      </c>
    </row>
    <row r="26" spans="1:5" x14ac:dyDescent="0.3">
      <c r="B26" s="264" t="s">
        <v>158</v>
      </c>
      <c r="C26" s="265" t="s">
        <v>304</v>
      </c>
      <c r="D26" s="46" t="s">
        <v>817</v>
      </c>
    </row>
    <row r="27" spans="1:5" x14ac:dyDescent="0.3">
      <c r="B27" s="85" t="s">
        <v>92</v>
      </c>
      <c r="C27" s="86">
        <v>0.25</v>
      </c>
      <c r="D27" s="266">
        <f>IFERROR(VLOOKUP(Emplacement_du_personnel_Cyber[[#This Row],[Pays]],Mix_électrique[],2,FALSE),0)</f>
        <v>5.8000000000000003E-2</v>
      </c>
    </row>
    <row r="28" spans="1:5" x14ac:dyDescent="0.3">
      <c r="B28" s="85" t="s">
        <v>311</v>
      </c>
      <c r="C28" s="86">
        <v>0.25</v>
      </c>
      <c r="D28" s="266">
        <f>IFERROR(VLOOKUP(Emplacement_du_personnel_Cyber[[#This Row],[Pays]],Mix_électrique[],2,FALSE),0)</f>
        <v>0.58499999999999996</v>
      </c>
    </row>
    <row r="29" spans="1:5" x14ac:dyDescent="0.3">
      <c r="B29" s="85" t="s">
        <v>312</v>
      </c>
      <c r="C29" s="86">
        <v>0.25</v>
      </c>
      <c r="D29" s="266">
        <f>IFERROR(VLOOKUP(Emplacement_du_personnel_Cyber[[#This Row],[Pays]],Mix_électrique[],2,FALSE),0)</f>
        <v>0.22</v>
      </c>
    </row>
    <row r="30" spans="1:5" x14ac:dyDescent="0.3">
      <c r="B30" s="85" t="s">
        <v>791</v>
      </c>
      <c r="C30" s="86">
        <v>0.25</v>
      </c>
      <c r="D30" s="267">
        <f>IFERROR(VLOOKUP(Emplacement_du_personnel_Cyber[[#This Row],[Pays]],Mix_électrique[],2,FALSE),0)</f>
        <v>0.64</v>
      </c>
    </row>
  </sheetData>
  <mergeCells count="2">
    <mergeCell ref="B12:C12"/>
    <mergeCell ref="B13:C13"/>
  </mergeCells>
  <phoneticPr fontId="12" type="noConversion"/>
  <conditionalFormatting sqref="D18:D20">
    <cfRule type="cellIs" dxfId="23" priority="2" operator="equal">
      <formula>0</formula>
    </cfRule>
  </conditionalFormatting>
  <conditionalFormatting sqref="D27:D30">
    <cfRule type="cellIs" dxfId="22" priority="1" operator="equal">
      <formula>0</formula>
    </cfRule>
  </conditionalFormatting>
  <pageMargins left="0.7" right="0.7" top="0.75" bottom="0.75" header="0.3" footer="0.3"/>
  <tableParts count="2">
    <tablePart r:id="rId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59FC6E0-4BAF-4454-9304-83B295C25C0E}">
          <x14:formula1>
            <xm:f>'3.1 Mix électrique'!$B$5:$B$142</xm:f>
          </x14:formula1>
          <xm:sqref>B18:B20 B27:B30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2E9E-71B3-4840-9C4F-6160BC7FBB4E}">
  <sheetPr>
    <tabColor theme="9" tint="0.79998168889431442"/>
  </sheetPr>
  <dimension ref="A2:L36"/>
  <sheetViews>
    <sheetView showGridLines="0" zoomScale="70" zoomScaleNormal="70" workbookViewId="0">
      <selection activeCell="E7" sqref="E7"/>
    </sheetView>
  </sheetViews>
  <sheetFormatPr baseColWidth="10" defaultColWidth="8.75" defaultRowHeight="14" x14ac:dyDescent="0.3"/>
  <cols>
    <col min="1" max="1" width="45.5" style="23" customWidth="1"/>
    <col min="2" max="2" width="73.9140625" style="23" customWidth="1"/>
    <col min="3" max="3" width="16.75" style="23" customWidth="1"/>
    <col min="4" max="4" width="18.5" style="23" customWidth="1"/>
    <col min="5" max="5" width="41.1640625" style="23" customWidth="1"/>
    <col min="6" max="6" width="40.1640625" style="23" customWidth="1"/>
    <col min="7" max="7" width="24.1640625" style="23" customWidth="1"/>
    <col min="8" max="8" width="28.1640625" style="23" customWidth="1"/>
    <col min="9" max="9" width="40.4140625" style="23" customWidth="1"/>
    <col min="10" max="10" width="43.75" style="23" customWidth="1"/>
    <col min="11" max="11" width="23.75" style="23" customWidth="1"/>
    <col min="12" max="12" width="19.75" style="23" customWidth="1"/>
    <col min="13" max="13" width="31.75" style="23" customWidth="1"/>
    <col min="14" max="16384" width="8.75" style="23"/>
  </cols>
  <sheetData>
    <row r="2" spans="1:12" ht="15.5" x14ac:dyDescent="0.35">
      <c r="A2" s="127" t="s">
        <v>215</v>
      </c>
      <c r="B2"/>
    </row>
    <row r="3" spans="1:12" x14ac:dyDescent="0.3">
      <c r="A3"/>
      <c r="B3" s="268" t="s">
        <v>216</v>
      </c>
    </row>
    <row r="4" spans="1:12" ht="28" x14ac:dyDescent="0.3">
      <c r="A4"/>
      <c r="B4" s="224" t="s">
        <v>226</v>
      </c>
    </row>
    <row r="5" spans="1:12" ht="28" x14ac:dyDescent="0.3">
      <c r="A5"/>
      <c r="B5" s="225" t="s">
        <v>228</v>
      </c>
    </row>
    <row r="6" spans="1:12" ht="28" x14ac:dyDescent="0.3">
      <c r="A6"/>
      <c r="B6" s="226" t="s">
        <v>229</v>
      </c>
    </row>
    <row r="7" spans="1:12" ht="28" x14ac:dyDescent="0.3">
      <c r="A7"/>
      <c r="B7" s="227" t="s">
        <v>230</v>
      </c>
    </row>
    <row r="8" spans="1:12" x14ac:dyDescent="0.3">
      <c r="B8" s="119" t="s">
        <v>225</v>
      </c>
    </row>
    <row r="12" spans="1:12" ht="40" x14ac:dyDescent="0.3">
      <c r="A12" s="236" t="s">
        <v>561</v>
      </c>
    </row>
    <row r="13" spans="1:12" x14ac:dyDescent="0.3">
      <c r="C13" s="90"/>
      <c r="D13" s="90"/>
      <c r="E13" s="90"/>
      <c r="F13" s="90"/>
      <c r="G13" s="90"/>
      <c r="H13" s="90"/>
      <c r="I13" s="90"/>
    </row>
    <row r="14" spans="1:12" s="22" customFormat="1" ht="51.5" customHeight="1" x14ac:dyDescent="0.3">
      <c r="B14" s="74" t="s">
        <v>420</v>
      </c>
      <c r="C14" s="74" t="s">
        <v>562</v>
      </c>
      <c r="D14" s="74" t="s">
        <v>563</v>
      </c>
      <c r="E14" s="45" t="s">
        <v>799</v>
      </c>
      <c r="F14" s="45" t="s">
        <v>564</v>
      </c>
      <c r="G14" s="45" t="s">
        <v>565</v>
      </c>
      <c r="H14" s="45" t="s">
        <v>566</v>
      </c>
      <c r="I14" s="45" t="s">
        <v>567</v>
      </c>
      <c r="J14" s="45" t="s">
        <v>568</v>
      </c>
      <c r="K14" s="45" t="s">
        <v>569</v>
      </c>
    </row>
    <row r="15" spans="1:12" ht="42" x14ac:dyDescent="0.3">
      <c r="B15" s="120" t="s">
        <v>557</v>
      </c>
      <c r="C15" s="143">
        <v>300</v>
      </c>
      <c r="D15" s="147">
        <v>5</v>
      </c>
      <c r="E15" s="73">
        <f>CI_Cyber_Staff</f>
        <v>0.37575000000000003</v>
      </c>
      <c r="F15" s="73" t="str">
        <f>'3.2 Facteurs d''émission'!$C$8</f>
        <v>Poste de travail - Ordinateur portable, quelle que soit la taille de l'écran - ADEME 2023, Base carbone</v>
      </c>
      <c r="G15" s="73">
        <f>VLOOKUP(Appareils_poste_de_travail_ordinateur_portable[[#This Row],[Facteur d''émission]],Tableau3[[Nom]:[Consommation (kWh/an)]],6,FALSE)</f>
        <v>29.1</v>
      </c>
      <c r="H15" s="73">
        <f>VLOOKUP(Appareils_poste_de_travail_ordinateur_portable[[#This Row],[Facteur d''émission]],Tableau3[[Nom]:[Consommation (kWh/an)]],5,FALSE)</f>
        <v>170.3</v>
      </c>
      <c r="I15" s="73">
        <f>IFERROR(Appareils_poste_de_travail_ordinateur_portable[[#This Row],[Consommation électrique (kWh/an/unité)]]*Appareils_poste_de_travail_ordinateur_portable[[#This Row],[Mix électrique (kgCO2e/kWh)]]*Appareils_poste_de_travail_ordinateur_portable[[#This Row],[Quantité ]],0)</f>
        <v>3280.2975000000006</v>
      </c>
      <c r="J15" s="73">
        <f>Appareils_poste_de_travail_ordinateur_portable[[#This Row],[Fabrication (kgCO2e/unité)]]*Appareils_poste_de_travail_ordinateur_portable[[#This Row],[Quantité ]]/Appareils_poste_de_travail_ordinateur_portable[[#This Row],[Durée de vie]]</f>
        <v>10218</v>
      </c>
      <c r="K15" s="73">
        <f>Appareils_poste_de_travail_ordinateur_portable[[#This Row],[Champ d''application 2 (kgC02e)]]+Appareils_poste_de_travail_ordinateur_portable[[#This Row],[Champ d''application 3 (kgC02e)]]</f>
        <v>13498.297500000001</v>
      </c>
      <c r="L15" s="104"/>
    </row>
    <row r="16" spans="1:12" ht="42" x14ac:dyDescent="0.3">
      <c r="B16" s="120" t="s">
        <v>558</v>
      </c>
      <c r="C16" s="147">
        <v>30</v>
      </c>
      <c r="D16" s="147">
        <v>5</v>
      </c>
      <c r="E16" s="73">
        <f>CI_Cyber_Staff</f>
        <v>0.37575000000000003</v>
      </c>
      <c r="F16" s="73" t="str">
        <f>'3.2 Facteurs d''émission'!$C$8</f>
        <v>Poste de travail - Ordinateur portable, quelle que soit la taille de l'écran - ADEME 2023, Base carbone</v>
      </c>
      <c r="G16" s="73">
        <f>VLOOKUP(Appareils_poste_de_travail_ordinateur_portable[[#This Row],[Facteur d''émission]],Tableau3[[Nom]:[Consommation (kWh/an)]],6,FALSE)</f>
        <v>29.1</v>
      </c>
      <c r="H16" s="73">
        <f>VLOOKUP(Appareils_poste_de_travail_ordinateur_portable[[#This Row],[Facteur d''émission]],Tableau3[[Nom]:[Consommation (kWh/an)]],5,FALSE)</f>
        <v>170.3</v>
      </c>
      <c r="I16" s="73">
        <f>IFERROR(Appareils_poste_de_travail_ordinateur_portable[[#This Row],[Consommation électrique (kWh/an/unité)]]*Appareils_poste_de_travail_ordinateur_portable[[#This Row],[Mix électrique (kgCO2e/kWh)]]*Appareils_poste_de_travail_ordinateur_portable[[#This Row],[Quantité ]],0)</f>
        <v>328.02975000000004</v>
      </c>
      <c r="J16" s="73">
        <f>Appareils_poste_de_travail_ordinateur_portable[[#This Row],[Fabrication (kgCO2e/unité)]]*Appareils_poste_de_travail_ordinateur_portable[[#This Row],[Quantité ]]/Appareils_poste_de_travail_ordinateur_portable[[#This Row],[Durée de vie]]</f>
        <v>1021.8</v>
      </c>
      <c r="K16" s="73">
        <f>Appareils_poste_de_travail_ordinateur_portable[[#This Row],[Champ d''application 2 (kgC02e)]]+Appareils_poste_de_travail_ordinateur_portable[[#This Row],[Champ d''application 3 (kgC02e)]]</f>
        <v>1349.8297499999999</v>
      </c>
    </row>
    <row r="17" spans="1:12" ht="42" x14ac:dyDescent="0.3">
      <c r="B17" s="120" t="s">
        <v>559</v>
      </c>
      <c r="C17" s="143">
        <v>3</v>
      </c>
      <c r="D17" s="147">
        <v>5</v>
      </c>
      <c r="E17" s="73">
        <f>Intensité_Carbone_Personnel_du_groupe</f>
        <v>0.47659000000000001</v>
      </c>
      <c r="F17" s="73" t="str">
        <f>'3.2 Facteurs d''émission'!$C$8</f>
        <v>Poste de travail - Ordinateur portable, quelle que soit la taille de l'écran - ADEME 2023, Base carbone</v>
      </c>
      <c r="G17" s="73">
        <f>VLOOKUP(Appareils_poste_de_travail_ordinateur_portable[[#This Row],[Facteur d''émission]],Tableau3[[Nom]:[Consommation (kWh/an)]],6,FALSE)</f>
        <v>29.1</v>
      </c>
      <c r="H17" s="73">
        <f>VLOOKUP(Appareils_poste_de_travail_ordinateur_portable[[#This Row],[Facteur d''émission]],Tableau3[[Nom]:[Consommation (kWh/an)]],5,FALSE)</f>
        <v>170.3</v>
      </c>
      <c r="I17" s="73">
        <f>IFERROR(Appareils_poste_de_travail_ordinateur_portable[[#This Row],[Consommation électrique (kWh/an/unité)]]*Appareils_poste_de_travail_ordinateur_portable[[#This Row],[Mix électrique (kgCO2e/kWh)]]*Appareils_poste_de_travail_ordinateur_portable[[#This Row],[Quantité ]],0)</f>
        <v>41.606307000000001</v>
      </c>
      <c r="J17" s="73">
        <f>Appareils_poste_de_travail_ordinateur_portable[[#This Row],[Fabrication (kgCO2e/unité)]]*Appareils_poste_de_travail_ordinateur_portable[[#This Row],[Quantité ]]/Appareils_poste_de_travail_ordinateur_portable[[#This Row],[Durée de vie]]</f>
        <v>102.18</v>
      </c>
      <c r="K17" s="73">
        <f>Appareils_poste_de_travail_ordinateur_portable[[#This Row],[Champ d''application 2 (kgC02e)]]+Appareils_poste_de_travail_ordinateur_portable[[#This Row],[Champ d''application 3 (kgC02e)]]</f>
        <v>143.78630700000002</v>
      </c>
      <c r="L17" s="104"/>
    </row>
    <row r="18" spans="1:12" x14ac:dyDescent="0.3">
      <c r="B18" s="128"/>
      <c r="C18" s="128"/>
    </row>
    <row r="19" spans="1:12" ht="40" x14ac:dyDescent="0.3">
      <c r="A19" s="236" t="s">
        <v>722</v>
      </c>
      <c r="B19" s="128"/>
      <c r="C19" s="128"/>
    </row>
    <row r="20" spans="1:12" x14ac:dyDescent="0.3">
      <c r="B20" s="128"/>
      <c r="C20" s="129"/>
      <c r="D20" s="90"/>
      <c r="E20" s="90"/>
      <c r="F20" s="90"/>
      <c r="G20" s="90"/>
      <c r="H20" s="90"/>
      <c r="I20" s="90"/>
    </row>
    <row r="21" spans="1:12" ht="28" x14ac:dyDescent="0.3">
      <c r="A21" s="22"/>
      <c r="B21" s="130" t="s">
        <v>420</v>
      </c>
      <c r="C21" s="74" t="s">
        <v>562</v>
      </c>
      <c r="D21" s="74" t="s">
        <v>563</v>
      </c>
      <c r="E21" s="45" t="s">
        <v>799</v>
      </c>
      <c r="F21" s="45" t="s">
        <v>564</v>
      </c>
      <c r="G21" s="45" t="s">
        <v>565</v>
      </c>
      <c r="H21" s="45" t="s">
        <v>566</v>
      </c>
      <c r="I21" s="45" t="s">
        <v>567</v>
      </c>
      <c r="J21" s="45" t="s">
        <v>568</v>
      </c>
      <c r="K21" s="45" t="s">
        <v>569</v>
      </c>
    </row>
    <row r="22" spans="1:12" ht="28" x14ac:dyDescent="0.3">
      <c r="B22" s="120" t="s">
        <v>557</v>
      </c>
      <c r="C22" s="147">
        <v>30</v>
      </c>
      <c r="D22" s="147">
        <v>8</v>
      </c>
      <c r="E22" s="73">
        <f>CI_Cyber_Staff</f>
        <v>0.37575000000000003</v>
      </c>
      <c r="F22" s="73" t="str">
        <f>'3.2 Facteurs d''émission'!$C$9</f>
        <v>Poste de travail - Unité centrale d'ordinateur seule - ADEME 2023, Base carbone</v>
      </c>
      <c r="G22" s="73">
        <f>VLOOKUP(Appareils_poste_de_travail_ordinateur_de_bureau[[#This Row],[Facteur d''émission]],Tableau3[[Nom]:[Consommation (kWh/an)]],6,FALSE)</f>
        <v>151</v>
      </c>
      <c r="H22" s="73">
        <f>VLOOKUP(Appareils_poste_de_travail_ordinateur_de_bureau[[#This Row],[Facteur d''émission]],Tableau3[[Nom]:[Consommation (kWh/an)]],5,FALSE)</f>
        <v>202.57769999999999</v>
      </c>
      <c r="I22" s="73">
        <f>IFERROR(Appareils_poste_de_travail_ordinateur_de_bureau[[#This Row],[Consommation électrique (kWh/an/unité)]]*Appareils_poste_de_travail_ordinateur_de_bureau[[#This Row],[Mix électrique (kgCO2e/kWh)]]*Appareils_poste_de_travail_ordinateur_de_bureau[[#This Row],[Quantité ]],0)</f>
        <v>1702.1475000000003</v>
      </c>
      <c r="J22" s="73">
        <f>Appareils_poste_de_travail_ordinateur_de_bureau[[#This Row],[Fabrication (kgCO2e/unité)]]*Appareils_poste_de_travail_ordinateur_de_bureau[[#This Row],[Quantité ]]/Appareils_poste_de_travail_ordinateur_de_bureau[[#This Row],[Durée de vie]]</f>
        <v>759.66637500000002</v>
      </c>
      <c r="K22" s="73">
        <f>Appareils_poste_de_travail_ordinateur_de_bureau[[#This Row],[Champ d''application 2 (kgC02e)]]+Appareils_poste_de_travail_ordinateur_de_bureau[[#This Row],[Champ d''application 3 (kgC02e)]]</f>
        <v>2461.8138750000003</v>
      </c>
    </row>
    <row r="23" spans="1:12" ht="28" x14ac:dyDescent="0.3">
      <c r="B23" s="120" t="s">
        <v>624</v>
      </c>
      <c r="C23" s="147">
        <v>3</v>
      </c>
      <c r="D23" s="147">
        <v>8</v>
      </c>
      <c r="E23" s="73">
        <f>CI_Cyber_Staff</f>
        <v>0.37575000000000003</v>
      </c>
      <c r="F23" s="73" t="str">
        <f>'3.2 Facteurs d''émission'!$C$9</f>
        <v>Poste de travail - Unité centrale d'ordinateur seule - ADEME 2023, Base carbone</v>
      </c>
      <c r="G23" s="73">
        <f>VLOOKUP(Appareils_poste_de_travail_ordinateur_de_bureau[[#This Row],[Facteur d''émission]],Tableau3[[Nom]:[Consommation (kWh/an)]],6,FALSE)</f>
        <v>151</v>
      </c>
      <c r="H23" s="73">
        <f>VLOOKUP(Appareils_poste_de_travail_ordinateur_de_bureau[[#This Row],[Facteur d''émission]],Tableau3[[Nom]:[Consommation (kWh/an)]],5,FALSE)</f>
        <v>202.57769999999999</v>
      </c>
      <c r="I23" s="73">
        <f>IFERROR(Appareils_poste_de_travail_ordinateur_de_bureau[[#This Row],[Consommation électrique (kWh/an/unité)]]*Appareils_poste_de_travail_ordinateur_de_bureau[[#This Row],[Mix électrique (kgCO2e/kWh)]]*Appareils_poste_de_travail_ordinateur_de_bureau[[#This Row],[Quantité ]],0)</f>
        <v>170.21475000000004</v>
      </c>
      <c r="J23" s="73">
        <f>Appareils_poste_de_travail_ordinateur_de_bureau[[#This Row],[Fabrication (kgCO2e/unité)]]*Appareils_poste_de_travail_ordinateur_de_bureau[[#This Row],[Quantité ]]/Appareils_poste_de_travail_ordinateur_de_bureau[[#This Row],[Durée de vie]]</f>
        <v>75.96663749999999</v>
      </c>
      <c r="K23" s="73">
        <f>Appareils_poste_de_travail_ordinateur_de_bureau[[#This Row],[Champ d''application 2 (kgC02e)]]+Appareils_poste_de_travail_ordinateur_de_bureau[[#This Row],[Champ d''application 3 (kgC02e)]]</f>
        <v>246.18138750000003</v>
      </c>
    </row>
    <row r="24" spans="1:12" ht="28" x14ac:dyDescent="0.3">
      <c r="B24" s="120" t="s">
        <v>559</v>
      </c>
      <c r="C24" s="147">
        <v>1</v>
      </c>
      <c r="D24" s="147">
        <v>8</v>
      </c>
      <c r="E24" s="73">
        <f>Intensité_Carbone_Personnel_du_groupe</f>
        <v>0.47659000000000001</v>
      </c>
      <c r="F24" s="73" t="str">
        <f>'3.2 Facteurs d''émission'!$C$9</f>
        <v>Poste de travail - Unité centrale d'ordinateur seule - ADEME 2023, Base carbone</v>
      </c>
      <c r="G24" s="73">
        <f>VLOOKUP(Appareils_poste_de_travail_ordinateur_de_bureau[[#This Row],[Facteur d''émission]],Tableau3[[Nom]:[Consommation (kWh/an)]],6,FALSE)</f>
        <v>151</v>
      </c>
      <c r="H24" s="73">
        <f>VLOOKUP(Appareils_poste_de_travail_ordinateur_de_bureau[[#This Row],[Facteur d''émission]],Tableau3[[Nom]:[Consommation (kWh/an)]],5,FALSE)</f>
        <v>202.57769999999999</v>
      </c>
      <c r="I24" s="73">
        <f>IFERROR(Appareils_poste_de_travail_ordinateur_de_bureau[[#This Row],[Consommation électrique (kWh/an/unité)]]*Appareils_poste_de_travail_ordinateur_de_bureau[[#This Row],[Mix électrique (kgCO2e/kWh)]]*Appareils_poste_de_travail_ordinateur_de_bureau[[#This Row],[Quantité ]],0)</f>
        <v>71.965090000000004</v>
      </c>
      <c r="J24" s="73">
        <f>Appareils_poste_de_travail_ordinateur_de_bureau[[#This Row],[Fabrication (kgCO2e/unité)]]*Appareils_poste_de_travail_ordinateur_de_bureau[[#This Row],[Quantité ]]/Appareils_poste_de_travail_ordinateur_de_bureau[[#This Row],[Durée de vie]]</f>
        <v>25.322212499999999</v>
      </c>
      <c r="K24" s="73">
        <f>Appareils_poste_de_travail_ordinateur_de_bureau[[#This Row],[Champ d''application 2 (kgC02e)]]+Appareils_poste_de_travail_ordinateur_de_bureau[[#This Row],[Champ d''application 3 (kgC02e)]]</f>
        <v>97.28730250000001</v>
      </c>
    </row>
    <row r="25" spans="1:12" x14ac:dyDescent="0.3">
      <c r="B25" s="128"/>
      <c r="C25" s="128"/>
    </row>
    <row r="26" spans="1:12" x14ac:dyDescent="0.3">
      <c r="B26" s="128"/>
      <c r="C26" s="128"/>
    </row>
    <row r="27" spans="1:12" ht="20" x14ac:dyDescent="0.3">
      <c r="A27" s="236" t="s">
        <v>560</v>
      </c>
    </row>
    <row r="28" spans="1:12" x14ac:dyDescent="0.3">
      <c r="C28" s="90"/>
      <c r="D28" s="90"/>
      <c r="E28" s="90"/>
      <c r="F28" s="90"/>
      <c r="G28" s="90"/>
      <c r="H28" s="90"/>
      <c r="I28" s="90"/>
    </row>
    <row r="29" spans="1:12" ht="28" x14ac:dyDescent="0.3">
      <c r="B29" s="130" t="s">
        <v>420</v>
      </c>
      <c r="C29" s="74" t="s">
        <v>562</v>
      </c>
      <c r="D29" s="74" t="s">
        <v>563</v>
      </c>
      <c r="E29" s="45" t="s">
        <v>799</v>
      </c>
      <c r="F29" s="45" t="s">
        <v>564</v>
      </c>
      <c r="G29" s="45" t="s">
        <v>565</v>
      </c>
      <c r="H29" s="45" t="s">
        <v>566</v>
      </c>
      <c r="I29" s="45" t="s">
        <v>567</v>
      </c>
      <c r="J29" s="45" t="s">
        <v>568</v>
      </c>
      <c r="K29" s="45" t="s">
        <v>569</v>
      </c>
    </row>
    <row r="30" spans="1:12" ht="28" x14ac:dyDescent="0.3">
      <c r="B30" s="121" t="s">
        <v>625</v>
      </c>
      <c r="C30" s="148">
        <v>155</v>
      </c>
      <c r="D30" s="149">
        <v>8</v>
      </c>
      <c r="E30" s="73">
        <f>CI_Cyber_Staff</f>
        <v>0.37575000000000003</v>
      </c>
      <c r="F30" s="73" t="str" cm="1">
        <f t="array" ref="F30">'3.2 Facteurs d''émission'!FE_Ecrans_bureautiques</f>
        <v>Moniteurs de bureau - Toutes les tailles d'écran - ADEME 2023, Base carbone</v>
      </c>
      <c r="G30" s="73">
        <f>VLOOKUP(Appareils_Ecrans[[#This Row],[Facteur d''émission]],Tableau27[[Nom]:[Consommation (kWh/an)]],6)</f>
        <v>70</v>
      </c>
      <c r="H30" s="73">
        <f>VLOOKUP(Appareils_Ecrans[[#This Row],[Facteur d''émission]],Tableau27[[Nom]:[Consommation (kWh/an)]],5)</f>
        <v>64.599999999999994</v>
      </c>
      <c r="I30" s="73">
        <f>Appareils_Ecrans[[#This Row],[Consommation électrique (kWh/an/unité)]]*Appareils_Ecrans[[#This Row],[Mix électrique (kgCO2e/kWh)]]*Appareils_Ecrans[[#This Row],[Quantité ]]</f>
        <v>4076.8875000000003</v>
      </c>
      <c r="J30" s="73">
        <f>Appareils_Ecrans[[#This Row],[Fabrication (kgCO2e/unité)]]*Appareils_Ecrans[[#This Row],[Quantité ]]/Appareils_Ecrans[[#This Row],[Durée de vie]]</f>
        <v>1251.625</v>
      </c>
      <c r="K30" s="73">
        <f>Appareils_Ecrans[[#This Row],[Champ d''application 2 (kgC02e)]]+Appareils_Ecrans[[#This Row],[Champ d''application 3 (kgC02e)]]</f>
        <v>5328.5125000000007</v>
      </c>
      <c r="L30" s="104"/>
    </row>
    <row r="33" spans="1:12" ht="20" x14ac:dyDescent="0.3">
      <c r="A33" s="236" t="s">
        <v>117</v>
      </c>
    </row>
    <row r="34" spans="1:12" x14ac:dyDescent="0.3">
      <c r="C34" s="90"/>
      <c r="D34" s="90"/>
      <c r="E34" s="90"/>
      <c r="F34" s="90"/>
      <c r="G34" s="90"/>
      <c r="H34" s="90"/>
      <c r="I34" s="90"/>
    </row>
    <row r="35" spans="1:12" ht="28" x14ac:dyDescent="0.3">
      <c r="B35" s="130" t="s">
        <v>420</v>
      </c>
      <c r="C35" s="74" t="s">
        <v>562</v>
      </c>
      <c r="D35" s="74" t="s">
        <v>563</v>
      </c>
      <c r="E35" s="45" t="s">
        <v>799</v>
      </c>
      <c r="F35" s="45" t="s">
        <v>564</v>
      </c>
      <c r="G35" s="45" t="s">
        <v>565</v>
      </c>
      <c r="H35" s="45" t="s">
        <v>566</v>
      </c>
      <c r="I35" s="45" t="s">
        <v>567</v>
      </c>
      <c r="J35" s="45" t="s">
        <v>568</v>
      </c>
      <c r="K35" s="45" t="s">
        <v>569</v>
      </c>
    </row>
    <row r="36" spans="1:12" ht="28" x14ac:dyDescent="0.3">
      <c r="B36" s="121" t="s">
        <v>626</v>
      </c>
      <c r="C36" s="148">
        <v>20</v>
      </c>
      <c r="D36" s="144">
        <v>2.5</v>
      </c>
      <c r="E36" s="73">
        <f>CI_Cyber_Staff</f>
        <v>0.37575000000000003</v>
      </c>
      <c r="F36" s="73" t="str">
        <f>'3.2 Facteurs d''émission'!$C$27</f>
        <v>Téléphones - Smartphones   - ADEME 2023, Base carbone</v>
      </c>
      <c r="G36" s="73">
        <f>VLOOKUP(Appareils_Smartphones[[#This Row],[Facteur d''émission]],Tableau25[[Nom]:[Consommation (kWh/an)]],6,FALSE)</f>
        <v>3.9</v>
      </c>
      <c r="H36" s="73">
        <f>VLOOKUP(Appareils_Smartphones[[#This Row],[Facteur d''émission]],Tableau25[[Nom]:[Consommation (kWh/an)]],5,FALSE)</f>
        <v>77.033333333333303</v>
      </c>
      <c r="I36" s="73">
        <f>Appareils_Smartphones[[#This Row],[Consommation électrique (kWh/an/unité)]]*Appareils_Smartphones[[#This Row],[Mix électrique (kgCO2e/kWh)]]*Appareils_Smartphones[[#This Row],[Quantité ]]</f>
        <v>29.308499999999999</v>
      </c>
      <c r="J36" s="73">
        <f>Appareils_Smartphones[[#This Row],[Fabrication (kgCO2e/unité)]]*Appareils_Smartphones[[#This Row],[Quantité ]]/Appareils_Smartphones[[#This Row],[Durée de vie]]</f>
        <v>616.26666666666642</v>
      </c>
      <c r="K36" s="73">
        <f>Appareils_Smartphones[[#This Row],[Champ d''application 2 (kgC02e)]]+Appareils_Smartphones[[#This Row],[Champ d''application 3 (kgC02e)]]</f>
        <v>645.57516666666641</v>
      </c>
      <c r="L36" s="104"/>
    </row>
  </sheetData>
  <conditionalFormatting sqref="I15:I16 J15:K17 I22:I23 J22:K24">
    <cfRule type="cellIs" dxfId="21" priority="4" operator="equal">
      <formula>0</formula>
    </cfRule>
  </conditionalFormatting>
  <conditionalFormatting sqref="I30:K30">
    <cfRule type="cellIs" dxfId="20" priority="3" operator="equal">
      <formula>0</formula>
    </cfRule>
  </conditionalFormatting>
  <conditionalFormatting sqref="I36:K36">
    <cfRule type="cellIs" dxfId="19" priority="2" operator="equal">
      <formula>0</formula>
    </cfRule>
  </conditionalFormatting>
  <pageMargins left="0.7" right="0.7" top="0.75" bottom="0.75" header="0.3" footer="0.3"/>
  <pageSetup paperSize="9" orientation="portrait"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253CF-97D2-4C8C-8479-264C333B4E3B}">
  <sheetPr>
    <tabColor theme="9" tint="0.79998168889431442"/>
  </sheetPr>
  <dimension ref="A2:N36"/>
  <sheetViews>
    <sheetView showGridLines="0" zoomScale="74" zoomScaleNormal="40" workbookViewId="0">
      <selection activeCell="A30" sqref="A30"/>
    </sheetView>
  </sheetViews>
  <sheetFormatPr baseColWidth="10" defaultColWidth="8.75" defaultRowHeight="14" x14ac:dyDescent="0.3"/>
  <cols>
    <col min="1" max="1" width="51.1640625" style="23" customWidth="1"/>
    <col min="2" max="2" width="40.83203125" style="23" customWidth="1"/>
    <col min="3" max="3" width="16.9140625" style="23" customWidth="1"/>
    <col min="4" max="4" width="17.75" style="23" customWidth="1"/>
    <col min="5" max="5" width="17.1640625" style="23" customWidth="1"/>
    <col min="6" max="6" width="24.1640625" style="23" customWidth="1"/>
    <col min="7" max="7" width="36.5" style="23" customWidth="1"/>
    <col min="8" max="8" width="30.9140625" style="23" customWidth="1"/>
    <col min="9" max="9" width="35.75" style="23" customWidth="1"/>
    <col min="10" max="10" width="36.75" style="23" customWidth="1"/>
    <col min="11" max="11" width="25.5" style="23" customWidth="1"/>
    <col min="12" max="12" width="17.75" style="23" customWidth="1"/>
    <col min="13" max="13" width="25.75" style="23" customWidth="1"/>
    <col min="14" max="16384" width="8.75" style="23"/>
  </cols>
  <sheetData>
    <row r="2" spans="1:14" ht="15.5" x14ac:dyDescent="0.3">
      <c r="A2" s="138" t="s">
        <v>215</v>
      </c>
      <c r="B2" s="3"/>
    </row>
    <row r="3" spans="1:14" ht="15.5" x14ac:dyDescent="0.3">
      <c r="A3" s="3"/>
      <c r="B3" s="139" t="s">
        <v>216</v>
      </c>
    </row>
    <row r="4" spans="1:14" ht="42" x14ac:dyDescent="0.3">
      <c r="A4" s="3"/>
      <c r="B4" s="147" t="s">
        <v>227</v>
      </c>
    </row>
    <row r="5" spans="1:14" ht="39" customHeight="1" x14ac:dyDescent="0.3">
      <c r="A5" s="3"/>
      <c r="B5" s="225" t="s">
        <v>228</v>
      </c>
    </row>
    <row r="6" spans="1:14" ht="42" x14ac:dyDescent="0.3">
      <c r="A6" s="3"/>
      <c r="B6" s="228" t="s">
        <v>229</v>
      </c>
    </row>
    <row r="7" spans="1:14" ht="42" x14ac:dyDescent="0.3">
      <c r="A7" s="3"/>
      <c r="B7" s="229" t="s">
        <v>230</v>
      </c>
    </row>
    <row r="8" spans="1:14" x14ac:dyDescent="0.3">
      <c r="B8" s="119" t="s">
        <v>225</v>
      </c>
    </row>
    <row r="12" spans="1:14" ht="40" x14ac:dyDescent="0.3">
      <c r="A12" s="236" t="s">
        <v>570</v>
      </c>
    </row>
    <row r="13" spans="1:14" x14ac:dyDescent="0.3">
      <c r="C13" s="90"/>
      <c r="D13" s="90"/>
      <c r="E13" s="90"/>
      <c r="F13" s="90"/>
      <c r="G13" s="90"/>
      <c r="H13" s="90"/>
      <c r="I13" s="90"/>
      <c r="J13" s="90"/>
    </row>
    <row r="14" spans="1:14" s="22" customFormat="1" ht="28" x14ac:dyDescent="0.3">
      <c r="B14" s="74" t="s">
        <v>715</v>
      </c>
      <c r="C14" s="74" t="s">
        <v>118</v>
      </c>
      <c r="D14" s="74" t="s">
        <v>562</v>
      </c>
      <c r="E14" s="74" t="s">
        <v>563</v>
      </c>
      <c r="F14" s="74" t="s">
        <v>571</v>
      </c>
      <c r="G14" s="45" t="s">
        <v>799</v>
      </c>
      <c r="H14" s="45" t="s">
        <v>564</v>
      </c>
      <c r="I14" s="45" t="s">
        <v>565</v>
      </c>
      <c r="J14" s="45" t="s">
        <v>566</v>
      </c>
      <c r="K14" s="45" t="s">
        <v>567</v>
      </c>
      <c r="L14" s="83" t="s">
        <v>568</v>
      </c>
      <c r="M14" s="83" t="s">
        <v>569</v>
      </c>
    </row>
    <row r="15" spans="1:14" ht="28" x14ac:dyDescent="0.3">
      <c r="B15" s="78"/>
      <c r="C15" s="143">
        <v>1.59</v>
      </c>
      <c r="D15" s="143">
        <v>360</v>
      </c>
      <c r="E15" s="143">
        <v>6</v>
      </c>
      <c r="F15" s="144" t="s">
        <v>92</v>
      </c>
      <c r="G15" s="73">
        <f>IFERROR(VLOOKUP(Proxy_Reseau[[#This Row],[Localisation]],Mix_électrique[],2,FALSE),0)</f>
        <v>5.8000000000000003E-2</v>
      </c>
      <c r="H15" s="73" t="str">
        <f>'3.2 Facteurs d''émission'!FE_Firewalls</f>
        <v>Réseau - Pare-feu - ADEME 2014, Base carbone</v>
      </c>
      <c r="I15" s="73">
        <f>VLOOKUP(Proxy_Reseau[[#This Row],[Facteur d''émission]],Tableau31[[Nom]:[Consommation (kWh/an)]],6,FALSE)</f>
        <v>158</v>
      </c>
      <c r="J15" s="73">
        <f>VLOOKUP(Proxy_Reseau[[#This Row],[Facteur d''émission]],Tableau31[[Nom]:[Consommation (kWh/an)]],5,FALSE)</f>
        <v>80.7</v>
      </c>
      <c r="K15" s="94">
        <f>Proxy_Reseau[[#This Row],[Consommation électrique (kWh/an/unité)]]*Proxy_Reseau[[#This Row],[Mix électrique (kgCO2e/kWh)]]*Proxy_Reseau[[#This Row],[Quantité ]]*Proxy_Reseau[[#This Row],[PUE]]</f>
        <v>5245.4736000000003</v>
      </c>
      <c r="L15" s="94">
        <f>IFERROR(Proxy_Reseau[[#This Row],[Fabrication (kgCO2e/unité)]]*Proxy_Reseau[[#This Row],[Quantité ]]/Proxy_Reseau[[#This Row],[Durée de vie]],0)</f>
        <v>4842</v>
      </c>
      <c r="M15" s="94">
        <f>Proxy_Reseau[[#This Row],[Champ d''application 2 (kgC02e)]]+Proxy_Reseau[[#This Row],[Champ d''application 3 (kgC02e)]]</f>
        <v>10087.473600000001</v>
      </c>
      <c r="N15" s="104"/>
    </row>
    <row r="16" spans="1:14" ht="28" x14ac:dyDescent="0.3">
      <c r="B16" s="78"/>
      <c r="C16" s="143">
        <v>1.59</v>
      </c>
      <c r="D16" s="143">
        <v>300</v>
      </c>
      <c r="E16" s="143">
        <v>6</v>
      </c>
      <c r="F16" s="144" t="s">
        <v>92</v>
      </c>
      <c r="G16" s="73">
        <f>IFERROR(VLOOKUP(Proxy_Reseau[[#This Row],[Localisation]],Mix_électrique[],2,FALSE),0)</f>
        <v>5.8000000000000003E-2</v>
      </c>
      <c r="H16" s="73" t="str">
        <f>'3.2 Facteurs d''émission'!FE_Firewalls</f>
        <v>Réseau - Pare-feu - ADEME 2014, Base carbone</v>
      </c>
      <c r="I16" s="73">
        <f>VLOOKUP(Proxy_Reseau[[#This Row],[Facteur d''émission]],Tableau31[[Nom]:[Consommation (kWh/an)]],6,FALSE)</f>
        <v>158</v>
      </c>
      <c r="J16" s="73">
        <f>VLOOKUP(Proxy_Reseau[[#This Row],[Facteur d''émission]],Tableau31[[Nom]:[Consommation (kWh/an)]],5,FALSE)</f>
        <v>80.7</v>
      </c>
      <c r="K16" s="94">
        <f>Proxy_Reseau[[#This Row],[Consommation électrique (kWh/an/unité)]]*Proxy_Reseau[[#This Row],[Mix électrique (kgCO2e/kWh)]]*Proxy_Reseau[[#This Row],[Quantité ]]*Proxy_Reseau[[#This Row],[PUE]]</f>
        <v>4371.2280000000001</v>
      </c>
      <c r="L16" s="94">
        <f>IFERROR(Proxy_Reseau[[#This Row],[Fabrication (kgCO2e/unité)]]*Proxy_Reseau[[#This Row],[Quantité ]]/Proxy_Reseau[[#This Row],[Durée de vie]],0)</f>
        <v>4035</v>
      </c>
      <c r="M16" s="94">
        <f>Proxy_Reseau[[#This Row],[Champ d''application 2 (kgC02e)]]+Proxy_Reseau[[#This Row],[Champ d''application 3 (kgC02e)]]</f>
        <v>8406.2279999999992</v>
      </c>
      <c r="N16" s="104"/>
    </row>
    <row r="17" spans="1:14" ht="28" x14ac:dyDescent="0.3">
      <c r="B17" s="78"/>
      <c r="C17" s="143"/>
      <c r="D17" s="143"/>
      <c r="E17" s="143"/>
      <c r="F17" s="144"/>
      <c r="G17" s="73">
        <f>IFERROR(VLOOKUP(Proxy_Reseau[[#This Row],[Localisation]],Mix_électrique[],2,FALSE),0)</f>
        <v>0</v>
      </c>
      <c r="H17" s="73" t="str">
        <f>'3.2 Facteurs d''émission'!FE_Firewalls</f>
        <v>Réseau - Pare-feu - ADEME 2014, Base carbone</v>
      </c>
      <c r="I17" s="73">
        <f>VLOOKUP(Proxy_Reseau[[#This Row],[Facteur d''émission]],Tableau31[[Nom]:[Consommation (kWh/an)]],6,FALSE)</f>
        <v>158</v>
      </c>
      <c r="J17" s="73">
        <f>VLOOKUP(Proxy_Reseau[[#This Row],[Facteur d''émission]],Tableau31[[Nom]:[Consommation (kWh/an)]],5,FALSE)</f>
        <v>80.7</v>
      </c>
      <c r="K17" s="94">
        <f>Proxy_Reseau[[#This Row],[Consommation électrique (kWh/an/unité)]]*Proxy_Reseau[[#This Row],[Mix électrique (kgCO2e/kWh)]]*Proxy_Reseau[[#This Row],[Quantité ]]*Proxy_Reseau[[#This Row],[PUE]]</f>
        <v>0</v>
      </c>
      <c r="L17" s="94">
        <f>IFERROR(Proxy_Reseau[[#This Row],[Fabrication (kgCO2e/unité)]]*Proxy_Reseau[[#This Row],[Quantité ]]/Proxy_Reseau[[#This Row],[Durée de vie]],0)</f>
        <v>0</v>
      </c>
      <c r="M17" s="94">
        <f>Proxy_Reseau[[#This Row],[Champ d''application 2 (kgC02e)]]+Proxy_Reseau[[#This Row],[Champ d''application 3 (kgC02e)]]</f>
        <v>0</v>
      </c>
      <c r="N17" s="104"/>
    </row>
    <row r="21" spans="1:14" ht="20" x14ac:dyDescent="0.3">
      <c r="A21" s="236" t="s">
        <v>788</v>
      </c>
    </row>
    <row r="22" spans="1:14" ht="15" customHeight="1" x14ac:dyDescent="0.3"/>
    <row r="23" spans="1:14" ht="42" x14ac:dyDescent="0.3">
      <c r="B23" s="74" t="s">
        <v>715</v>
      </c>
      <c r="C23" s="74" t="s">
        <v>118</v>
      </c>
      <c r="D23" s="74" t="s">
        <v>562</v>
      </c>
      <c r="E23" s="74" t="s">
        <v>563</v>
      </c>
      <c r="F23" s="74" t="s">
        <v>571</v>
      </c>
      <c r="G23" s="45" t="s">
        <v>799</v>
      </c>
      <c r="H23" s="45" t="s">
        <v>564</v>
      </c>
      <c r="I23" s="45" t="s">
        <v>565</v>
      </c>
      <c r="J23" s="45" t="s">
        <v>566</v>
      </c>
      <c r="K23" s="45" t="s">
        <v>567</v>
      </c>
      <c r="L23" s="83" t="s">
        <v>568</v>
      </c>
      <c r="M23" s="83" t="s">
        <v>569</v>
      </c>
    </row>
    <row r="24" spans="1:14" ht="28" x14ac:dyDescent="0.3">
      <c r="B24" s="78"/>
      <c r="C24" s="143"/>
      <c r="D24" s="143"/>
      <c r="E24" s="143"/>
      <c r="F24" s="144"/>
      <c r="G24" s="73">
        <f>IFERROR(VLOOKUP(Pare_feu_Reseau[[#This Row],[Localisation]],Mix_électrique[],2,FALSE),0)</f>
        <v>0</v>
      </c>
      <c r="H24" s="73" t="str">
        <f>'3.2 Facteurs d''émission'!FE_Firewalls</f>
        <v>Réseau - Pare-feu - ADEME 2014, Base carbone</v>
      </c>
      <c r="I24" s="73">
        <f>VLOOKUP(Pare_feu_Reseau[[#This Row],[Facteur d''émission]],Tableau31[[Nom]:[Consommation (kWh/an)]],6,FALSE)</f>
        <v>158</v>
      </c>
      <c r="J24" s="73">
        <f>VLOOKUP(Pare_feu_Reseau[[#This Row],[Facteur d''émission]],Tableau31[[Nom]:[Consommation (kWh/an)]],5,FALSE)</f>
        <v>80.7</v>
      </c>
      <c r="K24" s="94">
        <f>Pare_feu_Reseau[[#This Row],[Consommation électrique (kWh/an/unité)]]*Pare_feu_Reseau[[#This Row],[Mix électrique (kgCO2e/kWh)]]*Pare_feu_Reseau[[#This Row],[Quantité ]]*Pare_feu_Reseau[[#This Row],[PUE]]</f>
        <v>0</v>
      </c>
      <c r="L24" s="94">
        <f>IFERROR(Pare_feu_Reseau[[#This Row],[Fabrication (kgCO2e/unité)]]*Pare_feu_Reseau[[#This Row],[Quantité ]]/Pare_feu_Reseau[[#This Row],[Durée de vie]],0)</f>
        <v>0</v>
      </c>
      <c r="M24" s="94">
        <f>Pare_feu_Reseau[[#This Row],[Champ d''application 2 (kgC02e)]]+Pare_feu_Reseau[[#This Row],[Champ d''application 3 (kgC02e)]]</f>
        <v>0</v>
      </c>
    </row>
    <row r="25" spans="1:14" ht="28" x14ac:dyDescent="0.3">
      <c r="B25" s="78"/>
      <c r="C25" s="143">
        <v>1.59</v>
      </c>
      <c r="D25" s="143">
        <v>531</v>
      </c>
      <c r="E25" s="143">
        <v>7</v>
      </c>
      <c r="F25" s="144" t="s">
        <v>92</v>
      </c>
      <c r="G25" s="73">
        <f>IFERROR(VLOOKUP(Pare_feu_Reseau[[#This Row],[Localisation]],Mix_électrique[],2,FALSE),0)</f>
        <v>5.8000000000000003E-2</v>
      </c>
      <c r="H25" s="73" t="str">
        <f>'3.2 Facteurs d''émission'!FE_Firewalls</f>
        <v>Réseau - Pare-feu - ADEME 2014, Base carbone</v>
      </c>
      <c r="I25" s="73">
        <f>VLOOKUP(Pare_feu_Reseau[[#This Row],[Facteur d''émission]],Tableau31[[Nom]:[Consommation (kWh/an)]],6,FALSE)</f>
        <v>158</v>
      </c>
      <c r="J25" s="73">
        <f>VLOOKUP(Pare_feu_Reseau[[#This Row],[Facteur d''émission]],Tableau31[[Nom]:[Consommation (kWh/an)]],5,FALSE)</f>
        <v>80.7</v>
      </c>
      <c r="K25" s="94">
        <f>Pare_feu_Reseau[[#This Row],[Consommation électrique (kWh/an/unité)]]*Pare_feu_Reseau[[#This Row],[Mix électrique (kgCO2e/kWh)]]*Pare_feu_Reseau[[#This Row],[Quantité ]]*Pare_feu_Reseau[[#This Row],[PUE]]</f>
        <v>7737.0735599999998</v>
      </c>
      <c r="L25" s="94">
        <f>IFERROR(Pare_feu_Reseau[[#This Row],[Fabrication (kgCO2e/unité)]]*Pare_feu_Reseau[[#This Row],[Quantité ]]/Pare_feu_Reseau[[#This Row],[Durée de vie]],0)</f>
        <v>6121.6714285714288</v>
      </c>
      <c r="M25" s="94">
        <f>Pare_feu_Reseau[[#This Row],[Champ d''application 2 (kgC02e)]]+Pare_feu_Reseau[[#This Row],[Champ d''application 3 (kgC02e)]]</f>
        <v>13858.744988571429</v>
      </c>
    </row>
    <row r="26" spans="1:14" ht="28" x14ac:dyDescent="0.3">
      <c r="B26" s="78"/>
      <c r="C26" s="143">
        <v>1.59</v>
      </c>
      <c r="D26" s="143">
        <v>81</v>
      </c>
      <c r="E26" s="143">
        <v>7</v>
      </c>
      <c r="F26" s="144" t="s">
        <v>92</v>
      </c>
      <c r="G26" s="73">
        <f>IFERROR(VLOOKUP(Pare_feu_Reseau[[#This Row],[Localisation]],Mix_électrique[],2,FALSE),0)</f>
        <v>5.8000000000000003E-2</v>
      </c>
      <c r="H26" s="73" t="str">
        <f>'3.2 Facteurs d''émission'!FE_Firewalls</f>
        <v>Réseau - Pare-feu - ADEME 2014, Base carbone</v>
      </c>
      <c r="I26" s="73">
        <f>VLOOKUP(Pare_feu_Reseau[[#This Row],[Facteur d''émission]],Tableau31[[Nom]:[Consommation (kWh/an)]],6,FALSE)</f>
        <v>158</v>
      </c>
      <c r="J26" s="73">
        <f>VLOOKUP(Pare_feu_Reseau[[#This Row],[Facteur d''émission]],Tableau31[[Nom]:[Consommation (kWh/an)]],5,FALSE)</f>
        <v>80.7</v>
      </c>
      <c r="K26" s="94">
        <f>Pare_feu_Reseau[[#This Row],[Consommation électrique (kWh/an/unité)]]*Pare_feu_Reseau[[#This Row],[Mix électrique (kgCO2e/kWh)]]*Pare_feu_Reseau[[#This Row],[Quantité ]]*Pare_feu_Reseau[[#This Row],[PUE]]</f>
        <v>1180.2315599999999</v>
      </c>
      <c r="L26" s="94">
        <f>IFERROR(Pare_feu_Reseau[[#This Row],[Fabrication (kgCO2e/unité)]]*Pare_feu_Reseau[[#This Row],[Quantité ]]/Pare_feu_Reseau[[#This Row],[Durée de vie]],0)</f>
        <v>933.81428571428569</v>
      </c>
      <c r="M26" s="94">
        <f>Pare_feu_Reseau[[#This Row],[Champ d''application 2 (kgC02e)]]+Pare_feu_Reseau[[#This Row],[Champ d''application 3 (kgC02e)]]</f>
        <v>2114.0458457142859</v>
      </c>
    </row>
    <row r="27" spans="1:14" ht="15" customHeight="1" x14ac:dyDescent="0.3"/>
    <row r="28" spans="1:14" ht="15" customHeight="1" x14ac:dyDescent="0.3"/>
    <row r="29" spans="1:14" ht="15" customHeight="1" x14ac:dyDescent="0.3"/>
    <row r="30" spans="1:14" ht="22" customHeight="1" x14ac:dyDescent="0.3">
      <c r="A30" s="236" t="s">
        <v>789</v>
      </c>
    </row>
    <row r="31" spans="1:14" ht="15" customHeight="1" x14ac:dyDescent="0.3"/>
    <row r="32" spans="1:14" ht="42" x14ac:dyDescent="0.3">
      <c r="B32" s="74" t="s">
        <v>715</v>
      </c>
      <c r="C32" s="74" t="s">
        <v>118</v>
      </c>
      <c r="D32" s="74" t="s">
        <v>562</v>
      </c>
      <c r="E32" s="74" t="s">
        <v>563</v>
      </c>
      <c r="F32" s="74" t="s">
        <v>571</v>
      </c>
      <c r="G32" s="45" t="s">
        <v>799</v>
      </c>
      <c r="H32" s="45" t="s">
        <v>564</v>
      </c>
      <c r="I32" s="45" t="s">
        <v>565</v>
      </c>
      <c r="J32" s="45" t="s">
        <v>566</v>
      </c>
      <c r="K32" s="45" t="s">
        <v>567</v>
      </c>
      <c r="L32" s="83" t="s">
        <v>568</v>
      </c>
      <c r="M32" s="83" t="s">
        <v>569</v>
      </c>
    </row>
    <row r="33" spans="2:13" ht="28" x14ac:dyDescent="0.3">
      <c r="B33" s="78"/>
      <c r="C33" s="143"/>
      <c r="D33" s="143"/>
      <c r="E33" s="143"/>
      <c r="F33" s="144"/>
      <c r="G33" s="73">
        <f>IFERROR(VLOOKUP(IPS_IDS_Reseau[[#This Row],[Localisation]],Mix_électrique[],2,FALSE),0)</f>
        <v>0</v>
      </c>
      <c r="H33" s="73" t="str">
        <f>'3.2 Facteurs d''émission'!FE_Firewalls</f>
        <v>Réseau - Pare-feu - ADEME 2014, Base carbone</v>
      </c>
      <c r="I33" s="73">
        <f>VLOOKUP(IPS_IDS_Reseau[[#This Row],[Facteur d''émission]],Tableau31[[Nom]:[Consommation (kWh/an)]],6,FALSE)</f>
        <v>158</v>
      </c>
      <c r="J33" s="73">
        <f>VLOOKUP(IPS_IDS_Reseau[[#This Row],[Facteur d''émission]],Tableau31[[Nom]:[Consommation (kWh/an)]],5,FALSE)</f>
        <v>80.7</v>
      </c>
      <c r="K33" s="94">
        <f>IPS_IDS_Reseau[[#This Row],[Consommation électrique (kWh/an/unité)]]*IPS_IDS_Reseau[[#This Row],[Mix électrique (kgCO2e/kWh)]]*IPS_IDS_Reseau[[#This Row],[Quantité ]]*IPS_IDS_Reseau[[#This Row],[PUE]]</f>
        <v>0</v>
      </c>
      <c r="L33" s="94">
        <f>IFERROR(IPS_IDS_Reseau[[#This Row],[Fabrication (kgCO2e/unité)]]*IPS_IDS_Reseau[[#This Row],[Quantité ]]/IPS_IDS_Reseau[[#This Row],[Durée de vie]],0)</f>
        <v>0</v>
      </c>
      <c r="M33" s="94">
        <f>IPS_IDS_Reseau[[#This Row],[Champ d''application 2 (kgC02e)]]+IPS_IDS_Reseau[[#This Row],[Champ d''application 3 (kgC02e)]]</f>
        <v>0</v>
      </c>
    </row>
    <row r="34" spans="2:13" ht="28" x14ac:dyDescent="0.3">
      <c r="B34" s="78"/>
      <c r="C34" s="143">
        <v>1.59</v>
      </c>
      <c r="D34" s="143">
        <v>531</v>
      </c>
      <c r="E34" s="143">
        <v>7</v>
      </c>
      <c r="F34" s="144" t="s">
        <v>92</v>
      </c>
      <c r="G34" s="73">
        <f>IFERROR(VLOOKUP(IPS_IDS_Reseau[[#This Row],[Localisation]],Mix_électrique[],2,FALSE),0)</f>
        <v>5.8000000000000003E-2</v>
      </c>
      <c r="H34" s="73" t="str">
        <f>'3.2 Facteurs d''émission'!FE_Firewalls</f>
        <v>Réseau - Pare-feu - ADEME 2014, Base carbone</v>
      </c>
      <c r="I34" s="73">
        <f>VLOOKUP(IPS_IDS_Reseau[[#This Row],[Facteur d''émission]],Tableau31[[Nom]:[Consommation (kWh/an)]],6,FALSE)</f>
        <v>158</v>
      </c>
      <c r="J34" s="73">
        <f>VLOOKUP(IPS_IDS_Reseau[[#This Row],[Facteur d''émission]],Tableau31[[Nom]:[Consommation (kWh/an)]],5,FALSE)</f>
        <v>80.7</v>
      </c>
      <c r="K34" s="94">
        <f>IPS_IDS_Reseau[[#This Row],[Consommation électrique (kWh/an/unité)]]*IPS_IDS_Reseau[[#This Row],[Mix électrique (kgCO2e/kWh)]]*IPS_IDS_Reseau[[#This Row],[Quantité ]]*IPS_IDS_Reseau[[#This Row],[PUE]]</f>
        <v>7737.0735599999998</v>
      </c>
      <c r="L34" s="94">
        <f>IFERROR(IPS_IDS_Reseau[[#This Row],[Fabrication (kgCO2e/unité)]]*IPS_IDS_Reseau[[#This Row],[Quantité ]]/IPS_IDS_Reseau[[#This Row],[Durée de vie]],0)</f>
        <v>6121.6714285714288</v>
      </c>
      <c r="M34" s="94">
        <f>IPS_IDS_Reseau[[#This Row],[Champ d''application 2 (kgC02e)]]+IPS_IDS_Reseau[[#This Row],[Champ d''application 3 (kgC02e)]]</f>
        <v>13858.744988571429</v>
      </c>
    </row>
    <row r="35" spans="2:13" ht="28" x14ac:dyDescent="0.3">
      <c r="B35" s="78"/>
      <c r="C35" s="143">
        <v>1.59</v>
      </c>
      <c r="D35" s="143">
        <v>81</v>
      </c>
      <c r="E35" s="143">
        <v>7</v>
      </c>
      <c r="F35" s="144" t="s">
        <v>92</v>
      </c>
      <c r="G35" s="73">
        <f>IFERROR(VLOOKUP(IPS_IDS_Reseau[[#This Row],[Localisation]],Mix_électrique[],2,FALSE),0)</f>
        <v>5.8000000000000003E-2</v>
      </c>
      <c r="H35" s="73" t="str">
        <f>'3.2 Facteurs d''émission'!FE_Firewalls</f>
        <v>Réseau - Pare-feu - ADEME 2014, Base carbone</v>
      </c>
      <c r="I35" s="73">
        <f>VLOOKUP(IPS_IDS_Reseau[[#This Row],[Facteur d''émission]],Tableau31[[Nom]:[Consommation (kWh/an)]],6,FALSE)</f>
        <v>158</v>
      </c>
      <c r="J35" s="73">
        <f>VLOOKUP(IPS_IDS_Reseau[[#This Row],[Facteur d''émission]],Tableau31[[Nom]:[Consommation (kWh/an)]],5,FALSE)</f>
        <v>80.7</v>
      </c>
      <c r="K35" s="94">
        <f>IPS_IDS_Reseau[[#This Row],[Consommation électrique (kWh/an/unité)]]*IPS_IDS_Reseau[[#This Row],[Mix électrique (kgCO2e/kWh)]]*IPS_IDS_Reseau[[#This Row],[Quantité ]]*IPS_IDS_Reseau[[#This Row],[PUE]]</f>
        <v>1180.2315599999999</v>
      </c>
      <c r="L35" s="94">
        <f>IFERROR(IPS_IDS_Reseau[[#This Row],[Fabrication (kgCO2e/unité)]]*IPS_IDS_Reseau[[#This Row],[Quantité ]]/IPS_IDS_Reseau[[#This Row],[Durée de vie]],0)</f>
        <v>933.81428571428569</v>
      </c>
      <c r="M35" s="94">
        <f>IPS_IDS_Reseau[[#This Row],[Champ d''application 2 (kgC02e)]]+IPS_IDS_Reseau[[#This Row],[Champ d''application 3 (kgC02e)]]</f>
        <v>2114.0458457142859</v>
      </c>
    </row>
    <row r="36" spans="2:13" ht="15" customHeight="1" x14ac:dyDescent="0.3"/>
  </sheetData>
  <conditionalFormatting sqref="G15:G17">
    <cfRule type="cellIs" dxfId="18" priority="6" operator="equal">
      <formula>0</formula>
    </cfRule>
  </conditionalFormatting>
  <conditionalFormatting sqref="G24:G26">
    <cfRule type="cellIs" dxfId="17" priority="4" operator="equal">
      <formula>0</formula>
    </cfRule>
  </conditionalFormatting>
  <conditionalFormatting sqref="G33:G35">
    <cfRule type="cellIs" dxfId="16" priority="2" operator="equal">
      <formula>0</formula>
    </cfRule>
  </conditionalFormatting>
  <conditionalFormatting sqref="K15:M17">
    <cfRule type="cellIs" dxfId="15" priority="5" operator="equal">
      <formula>0</formula>
    </cfRule>
  </conditionalFormatting>
  <conditionalFormatting sqref="K24:M26">
    <cfRule type="cellIs" dxfId="14" priority="3" operator="equal">
      <formula>0</formula>
    </cfRule>
  </conditionalFormatting>
  <conditionalFormatting sqref="K33:M35">
    <cfRule type="cellIs" dxfId="13" priority="1" operator="equal">
      <formula>0</formula>
    </cfRule>
  </conditionalFormatting>
  <pageMargins left="0.7" right="0.7" top="0.75" bottom="0.75" header="0.3" footer="0.3"/>
  <pageSetup paperSize="9"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1A63F-6C8F-4229-8074-6B14AD09B93F}">
  <sheetPr>
    <tabColor theme="9" tint="0.79998168889431442"/>
  </sheetPr>
  <dimension ref="A2:T1737"/>
  <sheetViews>
    <sheetView showGridLines="0" zoomScale="82" zoomScaleNormal="40" workbookViewId="0">
      <selection activeCell="E18" sqref="E18"/>
    </sheetView>
  </sheetViews>
  <sheetFormatPr baseColWidth="10" defaultColWidth="8.75" defaultRowHeight="15" customHeight="1" x14ac:dyDescent="0.3"/>
  <cols>
    <col min="1" max="1" width="74.4140625" customWidth="1"/>
    <col min="2" max="2" width="37.6640625" customWidth="1"/>
    <col min="3" max="3" width="26.75" customWidth="1"/>
    <col min="4" max="4" width="28.58203125" customWidth="1"/>
    <col min="5" max="5" width="26.5" customWidth="1"/>
    <col min="6" max="6" width="22.5" customWidth="1"/>
    <col min="7" max="7" width="32.5" customWidth="1"/>
    <col min="8" max="8" width="33.1640625" customWidth="1"/>
    <col min="9" max="9" width="28.9140625" customWidth="1"/>
    <col min="10" max="10" width="24.5" customWidth="1"/>
    <col min="11" max="11" width="37.75" customWidth="1"/>
    <col min="12" max="12" width="39.4140625" customWidth="1"/>
    <col min="13" max="13" width="31.9140625" customWidth="1"/>
    <col min="14" max="14" width="35.9140625" customWidth="1"/>
    <col min="15" max="15" width="43.9140625" customWidth="1"/>
    <col min="16" max="16" width="42.1640625" customWidth="1"/>
    <col min="17" max="17" width="44.75" customWidth="1"/>
    <col min="18" max="18" width="40.5" customWidth="1"/>
    <col min="19" max="19" width="27.4140625" customWidth="1"/>
    <col min="20" max="20" width="32.4140625" customWidth="1"/>
    <col min="21" max="21" width="36.5" customWidth="1"/>
    <col min="22" max="22" width="21.08203125" customWidth="1"/>
  </cols>
  <sheetData>
    <row r="2" spans="1:20" ht="15" customHeight="1" x14ac:dyDescent="0.35">
      <c r="A2" s="127" t="s">
        <v>215</v>
      </c>
    </row>
    <row r="3" spans="1:20" ht="15" customHeight="1" x14ac:dyDescent="0.35">
      <c r="B3" s="113" t="s">
        <v>216</v>
      </c>
    </row>
    <row r="4" spans="1:20" ht="49" customHeight="1" x14ac:dyDescent="0.3">
      <c r="B4" s="224" t="s">
        <v>227</v>
      </c>
    </row>
    <row r="5" spans="1:20" ht="51" customHeight="1" x14ac:dyDescent="0.3">
      <c r="B5" s="225" t="s">
        <v>228</v>
      </c>
    </row>
    <row r="6" spans="1:20" ht="46.5" customHeight="1" x14ac:dyDescent="0.3">
      <c r="B6" s="226" t="s">
        <v>229</v>
      </c>
    </row>
    <row r="7" spans="1:20" ht="43.5" customHeight="1" x14ac:dyDescent="0.3">
      <c r="B7" s="227" t="s">
        <v>230</v>
      </c>
    </row>
    <row r="8" spans="1:20" ht="15" customHeight="1" x14ac:dyDescent="0.3">
      <c r="B8" s="117" t="s">
        <v>225</v>
      </c>
    </row>
    <row r="12" spans="1:20" ht="23.15" customHeight="1" x14ac:dyDescent="0.3">
      <c r="A12" s="235" t="s">
        <v>586</v>
      </c>
    </row>
    <row r="13" spans="1:20" ht="21.65" customHeight="1" x14ac:dyDescent="0.3"/>
    <row r="14" spans="1:20" s="3" customFormat="1" ht="30" customHeight="1" x14ac:dyDescent="0.3">
      <c r="B14" s="231" t="s">
        <v>572</v>
      </c>
      <c r="C14" s="231" t="s">
        <v>573</v>
      </c>
      <c r="D14" s="232" t="s">
        <v>574</v>
      </c>
      <c r="E14" s="231" t="s">
        <v>575</v>
      </c>
      <c r="F14" s="231" t="s">
        <v>576</v>
      </c>
      <c r="G14" s="233" t="s">
        <v>577</v>
      </c>
      <c r="H14" s="233" t="s">
        <v>118</v>
      </c>
      <c r="I14" s="233" t="s">
        <v>578</v>
      </c>
      <c r="J14" s="233" t="s">
        <v>579</v>
      </c>
      <c r="K14" s="233" t="s">
        <v>119</v>
      </c>
      <c r="L14" s="233" t="s">
        <v>580</v>
      </c>
      <c r="M14" s="233" t="s">
        <v>120</v>
      </c>
      <c r="N14" s="233" t="s">
        <v>581</v>
      </c>
      <c r="O14" s="233" t="s">
        <v>800</v>
      </c>
      <c r="P14" s="233" t="s">
        <v>582</v>
      </c>
      <c r="Q14" s="233" t="s">
        <v>583</v>
      </c>
      <c r="R14" s="233" t="s">
        <v>584</v>
      </c>
      <c r="S14" s="234" t="s">
        <v>585</v>
      </c>
    </row>
    <row r="15" spans="1:20" ht="15" customHeight="1" x14ac:dyDescent="0.3">
      <c r="B15" s="126" t="s">
        <v>208</v>
      </c>
      <c r="C15" s="126"/>
      <c r="D15" s="126"/>
      <c r="E15" s="150" t="s">
        <v>634</v>
      </c>
      <c r="F15" s="150">
        <v>5</v>
      </c>
      <c r="G15" s="150" t="s">
        <v>92</v>
      </c>
      <c r="H15" s="150">
        <v>1.59</v>
      </c>
      <c r="I15" s="150">
        <v>8</v>
      </c>
      <c r="J15" s="150">
        <v>16</v>
      </c>
      <c r="K15" s="150">
        <v>2048</v>
      </c>
      <c r="L15" s="151">
        <v>16</v>
      </c>
      <c r="M15" s="152">
        <v>32000</v>
      </c>
      <c r="N15" s="102"/>
      <c r="O15" s="54">
        <f>IFERROR(VLOOKUP(Serveurs_de_sauvegarde[[#This Row],[Emplacement du serveur ]],Mix_électrique[],2,FALSE),0)</f>
        <v>5.8000000000000003E-2</v>
      </c>
      <c r="P15" s="52">
        <f>Serveurs_de_sauvegarde[[#This Row],[CPU physiques (unité)]]*'3.2 Facteurs d''émission'!$M$53*Serveurs_de_sauvegarde[[#This Row],[PUE]]</f>
        <v>22486.008960000003</v>
      </c>
      <c r="Q15" s="51">
        <f>Serveurs_de_sauvegarde[[#This Row],[Mix électrique (kgCO2e / kWh)]]*Serveurs_de_sauvegarde[[#This Row],[Consommation électrique (kWh)]]</f>
        <v>1304.1885196800001</v>
      </c>
      <c r="R15"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3777.2088888888889</v>
      </c>
      <c r="S15" s="52">
        <f>Serveurs_de_sauvegarde[[#This Row],[Champ d''application 2 (kgCO2e)]]+Serveurs_de_sauvegarde[[#This Row],[Champ d''application 3 (kgCO2e)]]</f>
        <v>5081.3974085688887</v>
      </c>
      <c r="T15" s="103"/>
    </row>
    <row r="16" spans="1:20" ht="15" customHeight="1" x14ac:dyDescent="0.3">
      <c r="B16" s="126" t="s">
        <v>209</v>
      </c>
      <c r="C16" s="126"/>
      <c r="D16" s="126"/>
      <c r="E16" s="150" t="s">
        <v>445</v>
      </c>
      <c r="F16" s="150">
        <v>5</v>
      </c>
      <c r="G16" s="150" t="s">
        <v>335</v>
      </c>
      <c r="H16" s="150">
        <v>2.09</v>
      </c>
      <c r="I16" s="150">
        <v>6</v>
      </c>
      <c r="J16" s="150">
        <v>6</v>
      </c>
      <c r="K16" s="150">
        <v>12000</v>
      </c>
      <c r="L16" s="151">
        <v>24</v>
      </c>
      <c r="M16" s="152">
        <v>18000</v>
      </c>
      <c r="N16" s="102"/>
      <c r="O16" s="54">
        <f>IFERROR(VLOOKUP(Serveurs_de_sauvegarde[[#This Row],[Emplacement du serveur ]],Mix_électrique[],2,FALSE),0)</f>
        <v>0.46100000000000002</v>
      </c>
      <c r="P16" s="52">
        <f>Serveurs_de_sauvegarde[[#This Row],[CPU physiques (unité)]]*'3.2 Facteurs d''émission'!$M$53*Serveurs_de_sauvegarde[[#This Row],[PUE]]</f>
        <v>11083.905359999999</v>
      </c>
      <c r="Q16" s="51">
        <f>Serveurs_de_sauvegarde[[#This Row],[Mix électrique (kgCO2e / kWh)]]*Serveurs_de_sauvegarde[[#This Row],[Consommation électrique (kWh)]]</f>
        <v>5109.6803709599999</v>
      </c>
      <c r="R16"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8945.9466666666667</v>
      </c>
      <c r="S16" s="52">
        <f>Serveurs_de_sauvegarde[[#This Row],[Champ d''application 2 (kgCO2e)]]+Serveurs_de_sauvegarde[[#This Row],[Champ d''application 3 (kgCO2e)]]</f>
        <v>14055.627037626666</v>
      </c>
    </row>
    <row r="17" spans="2:19" ht="15" customHeight="1" x14ac:dyDescent="0.3">
      <c r="B17" s="126"/>
      <c r="C17" s="126"/>
      <c r="D17" s="126"/>
      <c r="E17" s="150" t="s">
        <v>445</v>
      </c>
      <c r="F17" s="150">
        <v>5</v>
      </c>
      <c r="G17" s="150" t="s">
        <v>92</v>
      </c>
      <c r="H17" s="150"/>
      <c r="I17" s="150"/>
      <c r="J17" s="150"/>
      <c r="K17" s="150"/>
      <c r="L17" s="151"/>
      <c r="M17" s="152"/>
      <c r="N17" s="102"/>
      <c r="O17" s="54">
        <f>IFERROR(VLOOKUP(Serveurs_de_sauvegarde[[#This Row],[Emplacement du serveur ]],Mix_électrique[],2,FALSE),0)</f>
        <v>5.8000000000000003E-2</v>
      </c>
      <c r="P17" s="52">
        <f>Serveurs_de_sauvegarde[[#This Row],[CPU physiques (unité)]]*'3.2 Facteurs d''émission'!$M$53*Serveurs_de_sauvegarde[[#This Row],[PUE]]</f>
        <v>0</v>
      </c>
      <c r="Q17" s="51">
        <f>Serveurs_de_sauvegarde[[#This Row],[Mix électrique (kgCO2e / kWh)]]*Serveurs_de_sauvegarde[[#This Row],[Consommation électrique (kWh)]]</f>
        <v>0</v>
      </c>
      <c r="R17"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17" s="52">
        <f>Serveurs_de_sauvegarde[[#This Row],[Champ d''application 2 (kgCO2e)]]+Serveurs_de_sauvegarde[[#This Row],[Champ d''application 3 (kgCO2e)]]</f>
        <v>0</v>
      </c>
    </row>
    <row r="18" spans="2:19" ht="15" customHeight="1" x14ac:dyDescent="0.3">
      <c r="B18" s="126"/>
      <c r="C18" s="126"/>
      <c r="D18" s="126"/>
      <c r="E18" s="150" t="s">
        <v>445</v>
      </c>
      <c r="F18" s="150">
        <v>5</v>
      </c>
      <c r="G18" s="150" t="s">
        <v>92</v>
      </c>
      <c r="H18" s="150"/>
      <c r="I18" s="150"/>
      <c r="J18" s="150"/>
      <c r="K18" s="150"/>
      <c r="L18" s="152"/>
      <c r="M18" s="152"/>
      <c r="N18" s="102"/>
      <c r="O18" s="54">
        <f>IFERROR(VLOOKUP(Serveurs_de_sauvegarde[[#This Row],[Emplacement du serveur ]],Mix_électrique[],2,FALSE),0)</f>
        <v>5.8000000000000003E-2</v>
      </c>
      <c r="P18" s="52">
        <f>Serveurs_de_sauvegarde[[#This Row],[CPU physiques (unité)]]*'3.2 Facteurs d''émission'!$M$53*Serveurs_de_sauvegarde[[#This Row],[PUE]]</f>
        <v>0</v>
      </c>
      <c r="Q18" s="51">
        <f>Serveurs_de_sauvegarde[[#This Row],[Mix électrique (kgCO2e / kWh)]]*Serveurs_de_sauvegarde[[#This Row],[Consommation électrique (kWh)]]</f>
        <v>0</v>
      </c>
      <c r="R18"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18" s="52">
        <f>Serveurs_de_sauvegarde[[#This Row],[Champ d''application 2 (kgCO2e)]]+Serveurs_de_sauvegarde[[#This Row],[Champ d''application 3 (kgCO2e)]]</f>
        <v>0</v>
      </c>
    </row>
    <row r="19" spans="2:19" ht="15" customHeight="1" x14ac:dyDescent="0.3">
      <c r="B19" s="126"/>
      <c r="C19" s="126"/>
      <c r="D19" s="126"/>
      <c r="E19" s="150" t="s">
        <v>445</v>
      </c>
      <c r="F19" s="150"/>
      <c r="G19" s="150"/>
      <c r="H19" s="150"/>
      <c r="I19" s="150"/>
      <c r="J19" s="150"/>
      <c r="K19" s="150"/>
      <c r="L19" s="152"/>
      <c r="M19" s="152"/>
      <c r="N19" s="102"/>
      <c r="O19" s="54">
        <f>IFERROR(VLOOKUP(Serveurs_de_sauvegarde[[#This Row],[Emplacement du serveur ]],Mix_électrique[],2,FALSE),0)</f>
        <v>0</v>
      </c>
      <c r="P19" s="52">
        <f>Serveurs_de_sauvegarde[[#This Row],[CPU physiques (unité)]]*'3.2 Facteurs d''émission'!$M$53*Serveurs_de_sauvegarde[[#This Row],[PUE]]</f>
        <v>0</v>
      </c>
      <c r="Q19" s="51">
        <f>Serveurs_de_sauvegarde[[#This Row],[Mix électrique (kgCO2e / kWh)]]*Serveurs_de_sauvegarde[[#This Row],[Consommation électrique (kWh)]]</f>
        <v>0</v>
      </c>
      <c r="R19"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19" s="52">
        <f>Serveurs_de_sauvegarde[[#This Row],[Champ d''application 2 (kgCO2e)]]+Serveurs_de_sauvegarde[[#This Row],[Champ d''application 3 (kgCO2e)]]</f>
        <v>0</v>
      </c>
    </row>
    <row r="20" spans="2:19" ht="15" customHeight="1" x14ac:dyDescent="0.3">
      <c r="B20" s="126"/>
      <c r="C20" s="126"/>
      <c r="D20" s="126"/>
      <c r="E20" s="150" t="s">
        <v>634</v>
      </c>
      <c r="F20" s="150"/>
      <c r="G20" s="150"/>
      <c r="H20" s="150"/>
      <c r="I20" s="150"/>
      <c r="J20" s="150"/>
      <c r="K20" s="150"/>
      <c r="L20" s="152"/>
      <c r="M20" s="152"/>
      <c r="N20" s="102"/>
      <c r="O20" s="54">
        <f>IFERROR(VLOOKUP(Serveurs_de_sauvegarde[[#This Row],[Emplacement du serveur ]],Mix_électrique[],2,FALSE),0)</f>
        <v>0</v>
      </c>
      <c r="P20" s="52">
        <f>Serveurs_de_sauvegarde[[#This Row],[CPU physiques (unité)]]*'3.2 Facteurs d''émission'!$M$53*Serveurs_de_sauvegarde[[#This Row],[PUE]]</f>
        <v>0</v>
      </c>
      <c r="Q20" s="51">
        <f>Serveurs_de_sauvegarde[[#This Row],[Mix électrique (kgCO2e / kWh)]]*Serveurs_de_sauvegarde[[#This Row],[Consommation électrique (kWh)]]</f>
        <v>0</v>
      </c>
      <c r="R20"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0" s="52">
        <f>Serveurs_de_sauvegarde[[#This Row],[Champ d''application 2 (kgCO2e)]]+Serveurs_de_sauvegarde[[#This Row],[Champ d''application 3 (kgCO2e)]]</f>
        <v>0</v>
      </c>
    </row>
    <row r="21" spans="2:19" ht="15" customHeight="1" x14ac:dyDescent="0.3">
      <c r="B21" s="126"/>
      <c r="C21" s="126"/>
      <c r="D21" s="126"/>
      <c r="E21" s="150" t="s">
        <v>634</v>
      </c>
      <c r="F21" s="150"/>
      <c r="G21" s="150"/>
      <c r="H21" s="150"/>
      <c r="I21" s="150"/>
      <c r="J21" s="150"/>
      <c r="K21" s="150"/>
      <c r="L21" s="152"/>
      <c r="M21" s="152"/>
      <c r="N21" s="102"/>
      <c r="O21" s="54">
        <f>IFERROR(VLOOKUP(Serveurs_de_sauvegarde[[#This Row],[Emplacement du serveur ]],Mix_électrique[],2,FALSE),0)</f>
        <v>0</v>
      </c>
      <c r="P21" s="53">
        <f>Serveurs_de_sauvegarde[[#This Row],[CPU physiques (unité)]]*'3.2 Facteurs d''émission'!$M$53*Serveurs_de_sauvegarde[[#This Row],[PUE]]</f>
        <v>0</v>
      </c>
      <c r="Q21" s="51">
        <f>Serveurs_de_sauvegarde[[#This Row],[Mix électrique (kgCO2e / kWh)]]*Serveurs_de_sauvegarde[[#This Row],[Consommation électrique (kWh)]]</f>
        <v>0</v>
      </c>
      <c r="R21"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1" s="53">
        <f>Serveurs_de_sauvegarde[[#This Row],[Champ d''application 2 (kgCO2e)]]+Serveurs_de_sauvegarde[[#This Row],[Champ d''application 3 (kgCO2e)]]</f>
        <v>0</v>
      </c>
    </row>
    <row r="22" spans="2:19" ht="15" customHeight="1" x14ac:dyDescent="0.3">
      <c r="B22" s="126"/>
      <c r="C22" s="126"/>
      <c r="D22" s="126"/>
      <c r="E22" s="150" t="s">
        <v>445</v>
      </c>
      <c r="F22" s="150"/>
      <c r="G22" s="150"/>
      <c r="H22" s="150"/>
      <c r="I22" s="150"/>
      <c r="J22" s="150"/>
      <c r="K22" s="150"/>
      <c r="L22" s="152"/>
      <c r="M22" s="152"/>
      <c r="N22" s="102"/>
      <c r="O22" s="54">
        <f>IFERROR(VLOOKUP(Serveurs_de_sauvegarde[[#This Row],[Emplacement du serveur ]],Mix_électrique[],2,FALSE),0)</f>
        <v>0</v>
      </c>
      <c r="P22" s="52">
        <f>Serveurs_de_sauvegarde[[#This Row],[CPU physiques (unité)]]*'3.2 Facteurs d''émission'!$M$53*Serveurs_de_sauvegarde[[#This Row],[PUE]]</f>
        <v>0</v>
      </c>
      <c r="Q22" s="51">
        <f>Serveurs_de_sauvegarde[[#This Row],[Mix électrique (kgCO2e / kWh)]]*Serveurs_de_sauvegarde[[#This Row],[Consommation électrique (kWh)]]</f>
        <v>0</v>
      </c>
      <c r="R22"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2" s="52">
        <f>Serveurs_de_sauvegarde[[#This Row],[Champ d''application 2 (kgCO2e)]]+Serveurs_de_sauvegarde[[#This Row],[Champ d''application 3 (kgCO2e)]]</f>
        <v>0</v>
      </c>
    </row>
    <row r="23" spans="2:19" ht="15" customHeight="1" x14ac:dyDescent="0.3">
      <c r="B23" s="126"/>
      <c r="C23" s="126"/>
      <c r="D23" s="126"/>
      <c r="E23" s="150" t="s">
        <v>445</v>
      </c>
      <c r="F23" s="150"/>
      <c r="G23" s="150"/>
      <c r="H23" s="150"/>
      <c r="I23" s="150"/>
      <c r="J23" s="150"/>
      <c r="K23" s="150"/>
      <c r="L23" s="152"/>
      <c r="M23" s="152"/>
      <c r="N23" s="102"/>
      <c r="O23" s="54">
        <f>IFERROR(VLOOKUP(Serveurs_de_sauvegarde[[#This Row],[Emplacement du serveur ]],Mix_électrique[],2,FALSE),0)</f>
        <v>0</v>
      </c>
      <c r="P23" s="52">
        <f>Serveurs_de_sauvegarde[[#This Row],[CPU physiques (unité)]]*'3.2 Facteurs d''émission'!$M$53*Serveurs_de_sauvegarde[[#This Row],[PUE]]</f>
        <v>0</v>
      </c>
      <c r="Q23" s="51">
        <f>Serveurs_de_sauvegarde[[#This Row],[Mix électrique (kgCO2e / kWh)]]*Serveurs_de_sauvegarde[[#This Row],[Consommation électrique (kWh)]]</f>
        <v>0</v>
      </c>
      <c r="R23"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3" s="52">
        <f>Serveurs_de_sauvegarde[[#This Row],[Champ d''application 2 (kgCO2e)]]+Serveurs_de_sauvegarde[[#This Row],[Champ d''application 3 (kgCO2e)]]</f>
        <v>0</v>
      </c>
    </row>
    <row r="24" spans="2:19" ht="15" customHeight="1" x14ac:dyDescent="0.3">
      <c r="B24" s="126"/>
      <c r="C24" s="126"/>
      <c r="D24" s="126"/>
      <c r="E24" s="150" t="s">
        <v>445</v>
      </c>
      <c r="F24" s="150"/>
      <c r="G24" s="150"/>
      <c r="H24" s="150"/>
      <c r="I24" s="150"/>
      <c r="J24" s="150"/>
      <c r="K24" s="150"/>
      <c r="L24" s="152"/>
      <c r="M24" s="152"/>
      <c r="N24" s="102"/>
      <c r="O24" s="54">
        <f>IFERROR(VLOOKUP(Serveurs_de_sauvegarde[[#This Row],[Emplacement du serveur ]],Mix_électrique[],2,FALSE),0)</f>
        <v>0</v>
      </c>
      <c r="P24" s="52">
        <f>Serveurs_de_sauvegarde[[#This Row],[CPU physiques (unité)]]*'3.2 Facteurs d''émission'!$M$53*Serveurs_de_sauvegarde[[#This Row],[PUE]]</f>
        <v>0</v>
      </c>
      <c r="Q24" s="51">
        <f>Serveurs_de_sauvegarde[[#This Row],[Mix électrique (kgCO2e / kWh)]]*Serveurs_de_sauvegarde[[#This Row],[Consommation électrique (kWh)]]</f>
        <v>0</v>
      </c>
      <c r="R24"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4" s="52">
        <f>Serveurs_de_sauvegarde[[#This Row],[Champ d''application 2 (kgCO2e)]]+Serveurs_de_sauvegarde[[#This Row],[Champ d''application 3 (kgCO2e)]]</f>
        <v>0</v>
      </c>
    </row>
    <row r="25" spans="2:19" ht="15" customHeight="1" x14ac:dyDescent="0.3">
      <c r="B25" s="126"/>
      <c r="C25" s="126"/>
      <c r="D25" s="126"/>
      <c r="E25" s="150"/>
      <c r="F25" s="150"/>
      <c r="G25" s="150"/>
      <c r="H25" s="150"/>
      <c r="I25" s="150"/>
      <c r="J25" s="150"/>
      <c r="K25" s="150"/>
      <c r="L25" s="152"/>
      <c r="M25" s="152"/>
      <c r="N25" s="102"/>
      <c r="O25" s="54">
        <f>IFERROR(VLOOKUP(Serveurs_de_sauvegarde[[#This Row],[Emplacement du serveur ]],Mix_électrique[],2,FALSE),0)</f>
        <v>0</v>
      </c>
      <c r="P25" s="52">
        <f>Serveurs_de_sauvegarde[[#This Row],[CPU physiques (unité)]]*'3.2 Facteurs d''émission'!$M$53*Serveurs_de_sauvegarde[[#This Row],[PUE]]</f>
        <v>0</v>
      </c>
      <c r="Q25" s="51">
        <f>Serveurs_de_sauvegarde[[#This Row],[Mix électrique (kgCO2e / kWh)]]*Serveurs_de_sauvegarde[[#This Row],[Consommation électrique (kWh)]]</f>
        <v>0</v>
      </c>
      <c r="R25" s="51">
        <f>IFERROR((Serveurs_de_sauvegarde[[#This Row],[Serveurs physiques (unité)]]*'3.2 Facteurs d''émission'!$G$68*'3.3 Hypothèses'!$D$14+Serveurs_de_sauvegarde[[#This Row],[Serveurs physiques (unité)]]*'3.2 Facteurs d''émission'!$F$47+Serveurs_de_sauvegarde[[#This Row],[CPU physiques (unité)]]*'3.2 Facteurs d''émission'!$J$47+Serveurs_de_sauvegarde[[#This Row],[RAM (GB)]]*'3.2 Facteurs d''émission'!$H$47+Serveurs_de_sauvegarde[[#This Row],[Disque dur (unité)]]*'3.2 Facteurs d''émission'!$N$47+Serveurs_de_sauvegarde[[#This Row],[SSD (GB)]]*'3.2 Facteurs d''émission'!$O$47)/Serveurs_de_sauvegarde[[#This Row],[Durée de vie du serveur]],0)</f>
        <v>0</v>
      </c>
      <c r="S25" s="52">
        <f>Serveurs_de_sauvegarde[[#This Row],[Champ d''application 2 (kgCO2e)]]+Serveurs_de_sauvegarde[[#This Row],[Champ d''application 3 (kgCO2e)]]</f>
        <v>0</v>
      </c>
    </row>
    <row r="1662" spans="12:12" ht="14" x14ac:dyDescent="0.3">
      <c r="L1662">
        <v>214.60473519892986</v>
      </c>
    </row>
    <row r="1663" spans="12:12" ht="14" x14ac:dyDescent="0.3">
      <c r="L1663">
        <v>238.80926206394952</v>
      </c>
    </row>
    <row r="1664" spans="12:12" ht="14" x14ac:dyDescent="0.3">
      <c r="L1664">
        <v>1040.3382150540961</v>
      </c>
    </row>
    <row r="1665" spans="12:12" ht="14" x14ac:dyDescent="0.3">
      <c r="L1665">
        <v>12.175446888544521</v>
      </c>
    </row>
    <row r="1666" spans="12:12" ht="14" x14ac:dyDescent="0.3">
      <c r="L1666">
        <v>187.87527536514079</v>
      </c>
    </row>
    <row r="1667" spans="12:12" ht="14" x14ac:dyDescent="0.3">
      <c r="L1667">
        <v>22.71769606159372</v>
      </c>
    </row>
    <row r="1668" spans="12:12" ht="14" x14ac:dyDescent="0.3">
      <c r="L1668">
        <v>177.6565177308766</v>
      </c>
    </row>
    <row r="1669" spans="12:12" ht="14" x14ac:dyDescent="0.3">
      <c r="L1669">
        <v>112.05156946226725</v>
      </c>
    </row>
    <row r="1670" spans="12:12" ht="14" x14ac:dyDescent="0.3">
      <c r="L1670">
        <v>29.118443355532335</v>
      </c>
    </row>
    <row r="1671" spans="12:12" ht="14" x14ac:dyDescent="0.3">
      <c r="L1671">
        <v>2623.6698285208963</v>
      </c>
    </row>
    <row r="1672" spans="12:12" ht="14" x14ac:dyDescent="0.3">
      <c r="L1672">
        <v>12.878143925104157</v>
      </c>
    </row>
    <row r="1673" spans="12:12" ht="14" x14ac:dyDescent="0.3">
      <c r="L1673">
        <v>118.33706295590434</v>
      </c>
    </row>
    <row r="1674" spans="12:12" ht="14" x14ac:dyDescent="0.3">
      <c r="L1674">
        <v>68.646007030188571</v>
      </c>
    </row>
    <row r="1675" spans="12:12" ht="14" x14ac:dyDescent="0.3">
      <c r="L1675">
        <v>7.375068922589664</v>
      </c>
    </row>
    <row r="1676" spans="12:12" ht="14" x14ac:dyDescent="0.3">
      <c r="L1676">
        <v>16.13738379045019</v>
      </c>
    </row>
    <row r="1677" spans="12:12" ht="14" x14ac:dyDescent="0.3">
      <c r="L1677">
        <v>28.226804705657848</v>
      </c>
    </row>
    <row r="1678" spans="12:12" ht="14" x14ac:dyDescent="0.3">
      <c r="L1678">
        <v>230.80125923509181</v>
      </c>
    </row>
    <row r="1679" spans="12:12" ht="14" x14ac:dyDescent="0.3">
      <c r="L1679">
        <v>112.47122409572134</v>
      </c>
    </row>
    <row r="1680" spans="12:12" ht="14" x14ac:dyDescent="0.3">
      <c r="L1680">
        <v>222.06597554920552</v>
      </c>
    </row>
    <row r="1681" spans="12:12" ht="14" x14ac:dyDescent="0.3">
      <c r="L1681">
        <v>47.797947281092384</v>
      </c>
    </row>
    <row r="1682" spans="12:12" ht="14" x14ac:dyDescent="0.3">
      <c r="L1682">
        <v>28.90690762868774</v>
      </c>
    </row>
    <row r="1683" spans="12:12" ht="14" x14ac:dyDescent="0.3">
      <c r="L1683">
        <v>288.4879209626551</v>
      </c>
    </row>
    <row r="1684" spans="12:12" ht="14" x14ac:dyDescent="0.3">
      <c r="L1684">
        <v>423.90612909457838</v>
      </c>
    </row>
    <row r="1685" spans="12:12" ht="14" x14ac:dyDescent="0.3">
      <c r="L1685">
        <v>28.723936396234897</v>
      </c>
    </row>
    <row r="1686" spans="12:12" ht="14" x14ac:dyDescent="0.3">
      <c r="L1686">
        <v>2244.0700965380238</v>
      </c>
    </row>
    <row r="1687" spans="12:12" ht="14" x14ac:dyDescent="0.3">
      <c r="L1687">
        <v>475.54130846624025</v>
      </c>
    </row>
    <row r="1688" spans="12:12" ht="14" x14ac:dyDescent="0.3">
      <c r="L1688">
        <v>167.0072217170914</v>
      </c>
    </row>
    <row r="1689" spans="12:12" ht="14" x14ac:dyDescent="0.3">
      <c r="L1689">
        <v>45.540678132730605</v>
      </c>
    </row>
    <row r="1690" spans="12:12" ht="14" x14ac:dyDescent="0.3">
      <c r="L1690">
        <v>1067.364548410003</v>
      </c>
    </row>
    <row r="1691" spans="12:12" ht="14" x14ac:dyDescent="0.3">
      <c r="L1691">
        <v>132.69841269841265</v>
      </c>
    </row>
    <row r="1692" spans="12:12" ht="14" x14ac:dyDescent="0.3">
      <c r="L1692">
        <v>78.797582944998993</v>
      </c>
    </row>
    <row r="1693" spans="12:12" ht="14" x14ac:dyDescent="0.3">
      <c r="L1693">
        <v>89.220257205690274</v>
      </c>
    </row>
    <row r="1694" spans="12:12" ht="14" x14ac:dyDescent="0.3">
      <c r="L1694">
        <v>3.5875793116479038</v>
      </c>
    </row>
    <row r="1695" spans="12:12" ht="14" x14ac:dyDescent="0.3">
      <c r="L1695">
        <v>96.585067428823209</v>
      </c>
    </row>
    <row r="1696" spans="12:12" ht="14" x14ac:dyDescent="0.3">
      <c r="L1696">
        <v>2895.8201130494576</v>
      </c>
    </row>
    <row r="1697" spans="12:12" ht="14" x14ac:dyDescent="0.3">
      <c r="L1697">
        <v>20.69368964924746</v>
      </c>
    </row>
    <row r="1698" spans="12:12" ht="14" x14ac:dyDescent="0.3">
      <c r="L1698">
        <v>284.60317460317469</v>
      </c>
    </row>
    <row r="1699" spans="12:12" ht="14" x14ac:dyDescent="0.3">
      <c r="L1699">
        <v>3.4920634920634921</v>
      </c>
    </row>
    <row r="1700" spans="12:12" ht="14" x14ac:dyDescent="0.3">
      <c r="L1700">
        <v>47.616955610606375</v>
      </c>
    </row>
    <row r="1701" spans="12:12" ht="14" x14ac:dyDescent="0.3">
      <c r="L1701">
        <v>60.71331727768974</v>
      </c>
    </row>
    <row r="1702" spans="12:12" ht="14" x14ac:dyDescent="0.3">
      <c r="L1702">
        <v>370.15873015873007</v>
      </c>
    </row>
    <row r="1703" spans="12:12" ht="14" x14ac:dyDescent="0.3">
      <c r="L1703">
        <v>0</v>
      </c>
    </row>
    <row r="1704" spans="12:12" ht="14" x14ac:dyDescent="0.3">
      <c r="L1704">
        <v>6.9841269841269842</v>
      </c>
    </row>
    <row r="1705" spans="12:12" ht="14" x14ac:dyDescent="0.3">
      <c r="L1705">
        <v>0</v>
      </c>
    </row>
    <row r="1706" spans="12:12" ht="14" x14ac:dyDescent="0.3">
      <c r="L1706">
        <v>4.3650793650793647</v>
      </c>
    </row>
    <row r="1707" spans="12:12" ht="14" x14ac:dyDescent="0.3">
      <c r="L1707">
        <v>96.126101641272854</v>
      </c>
    </row>
    <row r="1708" spans="12:12" ht="14" x14ac:dyDescent="0.3">
      <c r="L1708">
        <v>17.460317460317459</v>
      </c>
    </row>
    <row r="1709" spans="12:12" ht="14" x14ac:dyDescent="0.3">
      <c r="L1709">
        <v>55.873015873015873</v>
      </c>
    </row>
    <row r="1710" spans="12:12" ht="14" x14ac:dyDescent="0.3">
      <c r="L1710">
        <v>251.42857142857139</v>
      </c>
    </row>
    <row r="1711" spans="12:12" ht="14" x14ac:dyDescent="0.3">
      <c r="L1711">
        <v>6.9841269841269842</v>
      </c>
    </row>
    <row r="1712" spans="12:12" ht="14" x14ac:dyDescent="0.3">
      <c r="L1712">
        <v>3.4920634920634921</v>
      </c>
    </row>
    <row r="1713" spans="12:12" ht="14" x14ac:dyDescent="0.3">
      <c r="L1713">
        <v>41.904761904761898</v>
      </c>
    </row>
    <row r="1714" spans="12:12" ht="14" x14ac:dyDescent="0.3">
      <c r="L1714">
        <v>12.222222222222221</v>
      </c>
    </row>
    <row r="1715" spans="12:12" ht="14" x14ac:dyDescent="0.3">
      <c r="L1715">
        <v>670.47619047619025</v>
      </c>
    </row>
    <row r="1716" spans="12:12" ht="14" x14ac:dyDescent="0.3">
      <c r="L1716">
        <v>57.619047619047606</v>
      </c>
    </row>
    <row r="1717" spans="12:12" ht="14" x14ac:dyDescent="0.3">
      <c r="L1717">
        <v>4.3650793650793647</v>
      </c>
    </row>
    <row r="1718" spans="12:12" ht="14" x14ac:dyDescent="0.3">
      <c r="L1718">
        <v>111.74603174603175</v>
      </c>
    </row>
    <row r="1719" spans="12:12" ht="14" x14ac:dyDescent="0.3">
      <c r="L1719">
        <v>14.841269841269838</v>
      </c>
    </row>
    <row r="1720" spans="12:12" ht="14" x14ac:dyDescent="0.3">
      <c r="L1720">
        <v>20.952380952380949</v>
      </c>
    </row>
    <row r="1721" spans="12:12" ht="14" x14ac:dyDescent="0.3">
      <c r="L1721">
        <v>85.555555555555557</v>
      </c>
    </row>
    <row r="1722" spans="12:12" ht="14" x14ac:dyDescent="0.3">
      <c r="L1722">
        <v>10.476190476190474</v>
      </c>
    </row>
    <row r="1723" spans="12:12" ht="14" x14ac:dyDescent="0.3">
      <c r="L1723">
        <v>34.920634920634924</v>
      </c>
    </row>
    <row r="1724" spans="12:12" ht="14" x14ac:dyDescent="0.3">
      <c r="L1724">
        <v>13.968253968253968</v>
      </c>
    </row>
    <row r="1725" spans="12:12" ht="14" x14ac:dyDescent="0.3">
      <c r="L1725">
        <v>584.43476007848483</v>
      </c>
    </row>
    <row r="1726" spans="12:12" ht="14" x14ac:dyDescent="0.3">
      <c r="L1726">
        <v>11.349206349206348</v>
      </c>
    </row>
    <row r="1727" spans="12:12" ht="14" x14ac:dyDescent="0.3">
      <c r="L1727">
        <v>768.25396825396831</v>
      </c>
    </row>
    <row r="1728" spans="12:12" ht="14" x14ac:dyDescent="0.3">
      <c r="L1728">
        <v>1.746031746031746</v>
      </c>
    </row>
    <row r="1729" spans="12:12" ht="14" x14ac:dyDescent="0.3">
      <c r="L1729">
        <v>474.92063492063471</v>
      </c>
    </row>
    <row r="1730" spans="12:12" ht="14" x14ac:dyDescent="0.3">
      <c r="L1730">
        <v>62.857142857142847</v>
      </c>
    </row>
    <row r="1731" spans="12:12" ht="14" x14ac:dyDescent="0.3">
      <c r="L1731">
        <v>34.920634920634917</v>
      </c>
    </row>
    <row r="1732" spans="12:12" ht="14" x14ac:dyDescent="0.3">
      <c r="L1732">
        <v>20.952380952380949</v>
      </c>
    </row>
    <row r="1733" spans="12:12" ht="14" x14ac:dyDescent="0.3">
      <c r="L1733">
        <v>8.7301587301587293</v>
      </c>
    </row>
    <row r="1734" spans="12:12" ht="14" x14ac:dyDescent="0.3">
      <c r="L1734">
        <v>3.4920634920634921</v>
      </c>
    </row>
    <row r="1735" spans="12:12" ht="14" x14ac:dyDescent="0.3">
      <c r="L1735">
        <v>6.9841269841269842</v>
      </c>
    </row>
    <row r="1736" spans="12:12" ht="14" x14ac:dyDescent="0.3">
      <c r="L1736">
        <v>6.9841269841269842</v>
      </c>
    </row>
    <row r="1737" spans="12:12" ht="14" x14ac:dyDescent="0.3">
      <c r="L1737">
        <v>6.9841269841269842</v>
      </c>
    </row>
  </sheetData>
  <phoneticPr fontId="12" type="noConversion"/>
  <conditionalFormatting sqref="P15:S25">
    <cfRule type="cellIs" dxfId="12" priority="3" operator="equal">
      <formula>0</formula>
    </cfRule>
  </conditionalFormatting>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0090175D-EC05-4AD5-B4C8-4E45ECC71C4E}">
          <x14:formula1>
            <xm:f>'2.3 Carto serveurs sauvegarde'!$B$42:$B$43</xm:f>
          </x14:formula1>
          <xm:sqref>E15:E25</xm:sqref>
        </x14:dataValidation>
        <x14:dataValidation type="list" allowBlank="1" showInputMessage="1" showErrorMessage="1" xr:uid="{B5AA3E66-7F13-4BC7-BC0D-42AC79E09695}">
          <x14:formula1>
            <xm:f>'3.1 Mix électrique'!$B$5:$B$142</xm:f>
          </x14:formula1>
          <xm:sqref>G15:G25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D6B8-7E39-46F1-871A-358A9F1FA343}">
  <sheetPr>
    <tabColor theme="9" tint="0.79998168889431442"/>
  </sheetPr>
  <dimension ref="A2:V1745"/>
  <sheetViews>
    <sheetView showGridLines="0" zoomScale="67" zoomScaleNormal="50" workbookViewId="0">
      <selection activeCell="D31" sqref="D31"/>
    </sheetView>
  </sheetViews>
  <sheetFormatPr baseColWidth="10" defaultColWidth="8.75" defaultRowHeight="15" customHeight="1" x14ac:dyDescent="0.3"/>
  <cols>
    <col min="1" max="1" width="58.6640625" style="3" customWidth="1"/>
    <col min="2" max="2" width="34.5" style="3" customWidth="1"/>
    <col min="3" max="4" width="21.6640625" style="3" customWidth="1"/>
    <col min="5" max="5" width="20.4140625" style="3" customWidth="1"/>
    <col min="6" max="6" width="17" style="3" customWidth="1"/>
    <col min="7" max="7" width="19.6640625" style="3" customWidth="1"/>
    <col min="8" max="8" width="8.83203125" style="3" customWidth="1"/>
    <col min="9" max="9" width="23.1640625" style="3" customWidth="1"/>
    <col min="10" max="10" width="13.83203125" style="3" customWidth="1"/>
    <col min="11" max="11" width="21.1640625" style="3" customWidth="1"/>
    <col min="12" max="12" width="11.1640625" style="3" customWidth="1"/>
    <col min="13" max="13" width="12.58203125" style="3" customWidth="1"/>
    <col min="14" max="14" width="16" style="3" customWidth="1"/>
    <col min="15" max="15" width="14.5" style="3" customWidth="1"/>
    <col min="16" max="16" width="27.25" style="3" customWidth="1"/>
    <col min="17" max="17" width="30.6640625" style="3" customWidth="1"/>
    <col min="18" max="18" width="29.9140625" style="3" customWidth="1"/>
    <col min="19" max="19" width="31.75" style="3" customWidth="1"/>
    <col min="20" max="21" width="31.25" style="3" customWidth="1"/>
    <col min="22" max="22" width="18.58203125" style="3" customWidth="1"/>
    <col min="23" max="16384" width="8.75" style="3"/>
  </cols>
  <sheetData>
    <row r="2" spans="1:22" ht="15" customHeight="1" x14ac:dyDescent="0.3">
      <c r="A2" s="138" t="s">
        <v>215</v>
      </c>
    </row>
    <row r="3" spans="1:22" ht="15.5" x14ac:dyDescent="0.3">
      <c r="B3" s="139" t="s">
        <v>216</v>
      </c>
    </row>
    <row r="4" spans="1:22" ht="42" x14ac:dyDescent="0.3">
      <c r="B4" s="147" t="s">
        <v>227</v>
      </c>
    </row>
    <row r="5" spans="1:22" ht="56" x14ac:dyDescent="0.3">
      <c r="B5" s="225" t="s">
        <v>228</v>
      </c>
    </row>
    <row r="6" spans="1:22" ht="42" x14ac:dyDescent="0.3">
      <c r="B6" s="228" t="s">
        <v>229</v>
      </c>
    </row>
    <row r="7" spans="1:22" ht="42" x14ac:dyDescent="0.3">
      <c r="B7" s="229" t="s">
        <v>230</v>
      </c>
    </row>
    <row r="8" spans="1:22" ht="14" x14ac:dyDescent="0.3">
      <c r="B8" s="118" t="s">
        <v>225</v>
      </c>
    </row>
    <row r="9" spans="1:22" ht="14" x14ac:dyDescent="0.3"/>
    <row r="12" spans="1:22" ht="29" customHeight="1" x14ac:dyDescent="0.3">
      <c r="A12" s="133" t="s">
        <v>587</v>
      </c>
    </row>
    <row r="13" spans="1:22" ht="14" x14ac:dyDescent="0.3"/>
    <row r="14" spans="1:22" ht="38" customHeight="1" x14ac:dyDescent="0.3">
      <c r="B14" s="153" t="s">
        <v>572</v>
      </c>
      <c r="C14" s="153" t="s">
        <v>589</v>
      </c>
      <c r="D14" s="153" t="s">
        <v>590</v>
      </c>
      <c r="E14" s="153" t="s">
        <v>591</v>
      </c>
      <c r="F14" s="153" t="s">
        <v>592</v>
      </c>
      <c r="G14" s="89" t="s">
        <v>593</v>
      </c>
      <c r="H14" s="89" t="s">
        <v>118</v>
      </c>
      <c r="I14" s="89" t="s">
        <v>578</v>
      </c>
      <c r="J14" s="89" t="s">
        <v>594</v>
      </c>
      <c r="K14" s="89" t="s">
        <v>579</v>
      </c>
      <c r="L14" s="89" t="s">
        <v>119</v>
      </c>
      <c r="M14" s="89" t="s">
        <v>717</v>
      </c>
      <c r="N14" s="89" t="s">
        <v>120</v>
      </c>
      <c r="O14" s="89" t="s">
        <v>581</v>
      </c>
      <c r="P14" s="89" t="s">
        <v>800</v>
      </c>
      <c r="Q14" s="89" t="s">
        <v>595</v>
      </c>
      <c r="R14" s="89" t="s">
        <v>596</v>
      </c>
      <c r="S14" s="89" t="s">
        <v>582</v>
      </c>
      <c r="T14" s="89" t="s">
        <v>583</v>
      </c>
      <c r="U14" s="89" t="s">
        <v>584</v>
      </c>
      <c r="V14" s="49" t="s">
        <v>585</v>
      </c>
    </row>
    <row r="15" spans="1:22" ht="15" customHeight="1" x14ac:dyDescent="0.3">
      <c r="B15" s="154" t="s">
        <v>208</v>
      </c>
      <c r="C15" s="155" t="s">
        <v>122</v>
      </c>
      <c r="D15" s="155" t="s">
        <v>123</v>
      </c>
      <c r="E15" s="137"/>
      <c r="F15" s="155">
        <v>5</v>
      </c>
      <c r="G15" s="155" t="s">
        <v>92</v>
      </c>
      <c r="H15" s="155">
        <v>1.59</v>
      </c>
      <c r="I15" s="210">
        <v>8</v>
      </c>
      <c r="J15" s="155"/>
      <c r="K15" s="210">
        <v>16</v>
      </c>
      <c r="L15" s="155">
        <v>8000</v>
      </c>
      <c r="M15" s="211">
        <v>8.6746987949999994</v>
      </c>
      <c r="N15" s="212">
        <v>20000</v>
      </c>
      <c r="O15" s="157"/>
      <c r="P15" s="158">
        <f>IFERROR(VLOOKUP(Logiciels_sur_site[[#This Row],[Emplacements des serveurs ]],Mix_électrique[],2,FALSE),0)</f>
        <v>5.8000000000000003E-2</v>
      </c>
      <c r="Q15" s="159">
        <f>IF(Logiciels_sur_site[[#This Row],[Serveurs physiques (unité)]]="",Logiciels_sur_site[[#This Row],[CPU physique calculée (unité)]]/'3.3 Hypothèses'!$D$12,Logiciels_sur_site[[#This Row],[Serveurs physiques (unité)]])</f>
        <v>8</v>
      </c>
      <c r="R15" s="160">
        <f>Logiciels_sur_site[[#This Row],[vCPU (unité)]]/'3.3 Hypothèses'!$D$13+Logiciels_sur_site[[#This Row],[CPU physiques (unité)]]</f>
        <v>16</v>
      </c>
      <c r="S15" s="160">
        <f>Logiciels_sur_site[[#This Row],[CPU physique calculée (unité)]]*'3.2 Facteurs d''émission'!$M$53*Logiciels_sur_site[[#This Row],[PUE]]</f>
        <v>22486.008960000003</v>
      </c>
      <c r="T15" s="159">
        <f>Logiciels_sur_site[[#This Row],[Mix électrique (kgCO2e / kWh)]]*Logiciels_sur_site[[#This Row],[Consommation électrique (kWh)]]</f>
        <v>1304.1885196800001</v>
      </c>
      <c r="U15"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7182.8455153937884</v>
      </c>
      <c r="V15" s="160">
        <f>Logiciels_sur_site[[#This Row],[Champ d''application 2 (kgCO2e)]]+Logiciels_sur_site[[#This Row],[Champ d''application 3 (kgCO2e)]]</f>
        <v>8487.0340350737879</v>
      </c>
    </row>
    <row r="16" spans="1:22" ht="15" customHeight="1" x14ac:dyDescent="0.3">
      <c r="B16" s="154" t="s">
        <v>208</v>
      </c>
      <c r="C16" s="155" t="s">
        <v>122</v>
      </c>
      <c r="D16" s="155" t="s">
        <v>125</v>
      </c>
      <c r="E16" s="210"/>
      <c r="F16" s="155">
        <v>5</v>
      </c>
      <c r="G16" s="155" t="s">
        <v>92</v>
      </c>
      <c r="H16" s="155">
        <v>1.59</v>
      </c>
      <c r="I16" s="210">
        <v>6</v>
      </c>
      <c r="J16" s="155"/>
      <c r="K16" s="210">
        <v>216</v>
      </c>
      <c r="L16" s="155">
        <v>9000</v>
      </c>
      <c r="M16" s="211">
        <v>8.6746987949999994</v>
      </c>
      <c r="N16" s="212">
        <v>36</v>
      </c>
      <c r="O16" s="157"/>
      <c r="P16" s="158">
        <f>IFERROR(VLOOKUP(Logiciels_sur_site[[#This Row],[Emplacements des serveurs ]],Mix_électrique[],2,FALSE),0)</f>
        <v>5.8000000000000003E-2</v>
      </c>
      <c r="Q16" s="159">
        <f>IF(Logiciels_sur_site[[#This Row],[Serveurs physiques (unité)]]="",Logiciels_sur_site[[#This Row],[CPU physique calculée (unité)]]/'3.3 Hypothèses'!$D$12,Logiciels_sur_site[[#This Row],[Serveurs physiques (unité)]])</f>
        <v>6</v>
      </c>
      <c r="R16" s="160">
        <f>Logiciels_sur_site[[#This Row],[vCPU (unité)]]/'3.3 Hypothèses'!$D$13+Logiciels_sur_site[[#This Row],[CPU physiques (unité)]]</f>
        <v>216</v>
      </c>
      <c r="S16" s="160">
        <f>Logiciels_sur_site[[#This Row],[CPU physique calculée (unité)]]*'3.2 Facteurs d''émission'!$M$53*Logiciels_sur_site[[#This Row],[PUE]]</f>
        <v>303561.12096000003</v>
      </c>
      <c r="T16" s="159">
        <f>Logiciels_sur_site[[#This Row],[Mix électrique (kgCO2e / kWh)]]*Logiciels_sur_site[[#This Row],[Consommation électrique (kWh)]]</f>
        <v>17606.545015680003</v>
      </c>
      <c r="U16"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13170.98329317157</v>
      </c>
      <c r="V16" s="160">
        <f>Logiciels_sur_site[[#This Row],[Champ d''application 2 (kgCO2e)]]+Logiciels_sur_site[[#This Row],[Champ d''application 3 (kgCO2e)]]</f>
        <v>30777.528308851572</v>
      </c>
    </row>
    <row r="17" spans="1:22" ht="15" customHeight="1" x14ac:dyDescent="0.3">
      <c r="B17" s="154"/>
      <c r="C17" s="155"/>
      <c r="D17" s="155"/>
      <c r="E17" s="210"/>
      <c r="F17" s="155"/>
      <c r="G17" s="155"/>
      <c r="H17" s="155"/>
      <c r="I17" s="210"/>
      <c r="J17" s="155"/>
      <c r="K17" s="210"/>
      <c r="L17" s="155"/>
      <c r="M17" s="211"/>
      <c r="N17" s="212"/>
      <c r="O17" s="157"/>
      <c r="P17" s="158">
        <f>IFERROR(VLOOKUP(Logiciels_sur_site[[#This Row],[Emplacements des serveurs ]],Mix_électrique[],2,FALSE),0)</f>
        <v>0</v>
      </c>
      <c r="Q17" s="159">
        <f>IF(Logiciels_sur_site[[#This Row],[Serveurs physiques (unité)]]="",Logiciels_sur_site[[#This Row],[CPU physique calculée (unité)]]/'3.3 Hypothèses'!$D$12,Logiciels_sur_site[[#This Row],[Serveurs physiques (unité)]])</f>
        <v>0</v>
      </c>
      <c r="R17" s="160">
        <f>Logiciels_sur_site[[#This Row],[vCPU (unité)]]/'3.3 Hypothèses'!$D$13+Logiciels_sur_site[[#This Row],[CPU physiques (unité)]]</f>
        <v>0</v>
      </c>
      <c r="S17" s="160">
        <f>Logiciels_sur_site[[#This Row],[CPU physique calculée (unité)]]*'3.2 Facteurs d''émission'!$M$53*Logiciels_sur_site[[#This Row],[PUE]]</f>
        <v>0</v>
      </c>
      <c r="T17" s="159">
        <f>Logiciels_sur_site[[#This Row],[Mix électrique (kgCO2e / kWh)]]*Logiciels_sur_site[[#This Row],[Consommation électrique (kWh)]]</f>
        <v>0</v>
      </c>
      <c r="U17"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17" s="160">
        <f>Logiciels_sur_site[[#This Row],[Champ d''application 2 (kgCO2e)]]+Logiciels_sur_site[[#This Row],[Champ d''application 3 (kgCO2e)]]</f>
        <v>0</v>
      </c>
    </row>
    <row r="18" spans="1:22" ht="15" customHeight="1" x14ac:dyDescent="0.3">
      <c r="B18" s="154"/>
      <c r="C18" s="155"/>
      <c r="D18" s="155"/>
      <c r="E18" s="210"/>
      <c r="F18" s="155"/>
      <c r="G18" s="155"/>
      <c r="H18" s="155"/>
      <c r="I18" s="210"/>
      <c r="J18" s="155"/>
      <c r="K18" s="210"/>
      <c r="L18" s="155"/>
      <c r="M18" s="212"/>
      <c r="N18" s="212"/>
      <c r="O18" s="157"/>
      <c r="P18" s="158">
        <f>IFERROR(VLOOKUP(Logiciels_sur_site[[#This Row],[Emplacements des serveurs ]],Mix_électrique[],2,FALSE),0)</f>
        <v>0</v>
      </c>
      <c r="Q18" s="160">
        <f>IF(Logiciels_sur_site[[#This Row],[Serveurs physiques (unité)]]="",Logiciels_sur_site[[#This Row],[CPU physique calculée (unité)]]/'3.3 Hypothèses'!$D$12,Logiciels_sur_site[[#This Row],[Serveurs physiques (unité)]])</f>
        <v>0</v>
      </c>
      <c r="R18" s="160">
        <f>Logiciels_sur_site[[#This Row],[vCPU (unité)]]/'3.3 Hypothèses'!$D$13+Logiciels_sur_site[[#This Row],[CPU physiques (unité)]]</f>
        <v>0</v>
      </c>
      <c r="S18" s="160">
        <f>Logiciels_sur_site[[#This Row],[CPU physique calculée (unité)]]*'3.2 Facteurs d''émission'!$M$53*Logiciels_sur_site[[#This Row],[PUE]]</f>
        <v>0</v>
      </c>
      <c r="T18" s="159">
        <f>Logiciels_sur_site[[#This Row],[Mix électrique (kgCO2e / kWh)]]*Logiciels_sur_site[[#This Row],[Consommation électrique (kWh)]]</f>
        <v>0</v>
      </c>
      <c r="U18"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18" s="160">
        <f>Logiciels_sur_site[[#This Row],[Champ d''application 2 (kgCO2e)]]+Logiciels_sur_site[[#This Row],[Champ d''application 3 (kgCO2e)]]</f>
        <v>0</v>
      </c>
    </row>
    <row r="19" spans="1:22" ht="15" customHeight="1" x14ac:dyDescent="0.3">
      <c r="B19" s="154"/>
      <c r="C19" s="155"/>
      <c r="D19" s="155"/>
      <c r="E19" s="210"/>
      <c r="F19" s="155"/>
      <c r="G19" s="155"/>
      <c r="H19" s="155"/>
      <c r="I19" s="210"/>
      <c r="J19" s="155"/>
      <c r="K19" s="210"/>
      <c r="L19" s="155"/>
      <c r="M19" s="212"/>
      <c r="N19" s="212"/>
      <c r="O19" s="157"/>
      <c r="P19" s="158">
        <f>IFERROR(VLOOKUP(Logiciels_sur_site[[#This Row],[Emplacements des serveurs ]],Mix_électrique[],2,FALSE),0)</f>
        <v>0</v>
      </c>
      <c r="Q19" s="160">
        <f>IF(Logiciels_sur_site[[#This Row],[Serveurs physiques (unité)]]="",Logiciels_sur_site[[#This Row],[CPU physique calculée (unité)]]/'3.3 Hypothèses'!$D$12,Logiciels_sur_site[[#This Row],[Serveurs physiques (unité)]])</f>
        <v>0</v>
      </c>
      <c r="R19" s="160">
        <f>Logiciels_sur_site[[#This Row],[vCPU (unité)]]/'3.3 Hypothèses'!$D$13+Logiciels_sur_site[[#This Row],[CPU physiques (unité)]]</f>
        <v>0</v>
      </c>
      <c r="S19" s="160">
        <f>Logiciels_sur_site[[#This Row],[CPU physique calculée (unité)]]*'3.2 Facteurs d''émission'!$M$53*Logiciels_sur_site[[#This Row],[PUE]]</f>
        <v>0</v>
      </c>
      <c r="T19" s="159">
        <f>Logiciels_sur_site[[#This Row],[Mix électrique (kgCO2e / kWh)]]*Logiciels_sur_site[[#This Row],[Consommation électrique (kWh)]]</f>
        <v>0</v>
      </c>
      <c r="U19"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19" s="160">
        <f>Logiciels_sur_site[[#This Row],[Champ d''application 2 (kgCO2e)]]+Logiciels_sur_site[[#This Row],[Champ d''application 3 (kgCO2e)]]</f>
        <v>0</v>
      </c>
    </row>
    <row r="20" spans="1:22" ht="15" customHeight="1" x14ac:dyDescent="0.3">
      <c r="B20" s="154"/>
      <c r="C20" s="155"/>
      <c r="D20" s="155"/>
      <c r="E20" s="210"/>
      <c r="F20" s="155"/>
      <c r="G20" s="155"/>
      <c r="H20" s="155"/>
      <c r="I20" s="210"/>
      <c r="J20" s="155"/>
      <c r="K20" s="210"/>
      <c r="L20" s="155"/>
      <c r="M20" s="212"/>
      <c r="N20" s="212"/>
      <c r="O20" s="157"/>
      <c r="P20" s="158">
        <f>IFERROR(VLOOKUP(Logiciels_sur_site[[#This Row],[Emplacements des serveurs ]],Mix_électrique[],2,FALSE),0)</f>
        <v>0</v>
      </c>
      <c r="Q20" s="160">
        <f>IF(Logiciels_sur_site[[#This Row],[Serveurs physiques (unité)]]="",Logiciels_sur_site[[#This Row],[CPU physique calculée (unité)]]/'3.3 Hypothèses'!$D$12,Logiciels_sur_site[[#This Row],[Serveurs physiques (unité)]])</f>
        <v>0</v>
      </c>
      <c r="R20" s="160">
        <f>Logiciels_sur_site[[#This Row],[vCPU (unité)]]/'3.3 Hypothèses'!$D$13+Logiciels_sur_site[[#This Row],[CPU physiques (unité)]]</f>
        <v>0</v>
      </c>
      <c r="S20" s="160">
        <f>Logiciels_sur_site[[#This Row],[CPU physique calculée (unité)]]*'3.2 Facteurs d''émission'!$M$53*Logiciels_sur_site[[#This Row],[PUE]]</f>
        <v>0</v>
      </c>
      <c r="T20" s="159">
        <f>Logiciels_sur_site[[#This Row],[Mix électrique (kgCO2e / kWh)]]*Logiciels_sur_site[[#This Row],[Consommation électrique (kWh)]]</f>
        <v>0</v>
      </c>
      <c r="U20"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0" s="160">
        <f>Logiciels_sur_site[[#This Row],[Champ d''application 2 (kgCO2e)]]+Logiciels_sur_site[[#This Row],[Champ d''application 3 (kgCO2e)]]</f>
        <v>0</v>
      </c>
    </row>
    <row r="21" spans="1:22" ht="15" customHeight="1" x14ac:dyDescent="0.3">
      <c r="B21" s="154"/>
      <c r="C21" s="155"/>
      <c r="D21" s="155"/>
      <c r="E21" s="210"/>
      <c r="F21" s="155"/>
      <c r="G21" s="155"/>
      <c r="H21" s="155"/>
      <c r="I21" s="210"/>
      <c r="J21" s="155"/>
      <c r="K21" s="210"/>
      <c r="L21" s="155"/>
      <c r="M21" s="212"/>
      <c r="N21" s="212"/>
      <c r="O21" s="157"/>
      <c r="P21" s="158">
        <f>IFERROR(VLOOKUP(Logiciels_sur_site[[#This Row],[Emplacements des serveurs ]],Mix_électrique[],2,FALSE),0)</f>
        <v>0</v>
      </c>
      <c r="Q21" s="160">
        <f>IF(Logiciels_sur_site[[#This Row],[Serveurs physiques (unité)]]="",Logiciels_sur_site[[#This Row],[CPU physique calculée (unité)]]/'3.3 Hypothèses'!$D$12,Logiciels_sur_site[[#This Row],[Serveurs physiques (unité)]])</f>
        <v>0</v>
      </c>
      <c r="R21" s="160">
        <f>Logiciels_sur_site[[#This Row],[vCPU (unité)]]/'3.3 Hypothèses'!$D$13+Logiciels_sur_site[[#This Row],[CPU physiques (unité)]]</f>
        <v>0</v>
      </c>
      <c r="S21" s="161">
        <f>Logiciels_sur_site[[#This Row],[CPU physique calculée (unité)]]*'3.2 Facteurs d''émission'!$M$53*Logiciels_sur_site[[#This Row],[PUE]]</f>
        <v>0</v>
      </c>
      <c r="T21" s="159">
        <f>Logiciels_sur_site[[#This Row],[Mix électrique (kgCO2e / kWh)]]*Logiciels_sur_site[[#This Row],[Consommation électrique (kWh)]]</f>
        <v>0</v>
      </c>
      <c r="U21"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1" s="161">
        <f>Logiciels_sur_site[[#This Row],[Champ d''application 2 (kgCO2e)]]+Logiciels_sur_site[[#This Row],[Champ d''application 3 (kgCO2e)]]</f>
        <v>0</v>
      </c>
    </row>
    <row r="22" spans="1:22" ht="15" customHeight="1" x14ac:dyDescent="0.3">
      <c r="B22" s="154"/>
      <c r="C22" s="155"/>
      <c r="D22" s="155"/>
      <c r="E22" s="210"/>
      <c r="F22" s="155"/>
      <c r="G22" s="155"/>
      <c r="H22" s="155"/>
      <c r="I22" s="210"/>
      <c r="J22" s="155"/>
      <c r="K22" s="210"/>
      <c r="L22" s="155"/>
      <c r="M22" s="212"/>
      <c r="N22" s="212"/>
      <c r="O22" s="157"/>
      <c r="P22" s="158">
        <f>IFERROR(VLOOKUP(Logiciels_sur_site[[#This Row],[Emplacements des serveurs ]],Mix_électrique[],2,FALSE),0)</f>
        <v>0</v>
      </c>
      <c r="Q22" s="160">
        <f>IF(Logiciels_sur_site[[#This Row],[Serveurs physiques (unité)]]="",Logiciels_sur_site[[#This Row],[CPU physique calculée (unité)]]/'3.3 Hypothèses'!$D$12,Logiciels_sur_site[[#This Row],[Serveurs physiques (unité)]])</f>
        <v>0</v>
      </c>
      <c r="R22" s="160">
        <f>Logiciels_sur_site[[#This Row],[vCPU (unité)]]/'3.3 Hypothèses'!$D$13+Logiciels_sur_site[[#This Row],[CPU physiques (unité)]]</f>
        <v>0</v>
      </c>
      <c r="S22" s="160">
        <f>Logiciels_sur_site[[#This Row],[CPU physique calculée (unité)]]*'3.2 Facteurs d''émission'!$M$53*Logiciels_sur_site[[#This Row],[PUE]]</f>
        <v>0</v>
      </c>
      <c r="T22" s="159">
        <f>Logiciels_sur_site[[#This Row],[Mix électrique (kgCO2e / kWh)]]*Logiciels_sur_site[[#This Row],[Consommation électrique (kWh)]]</f>
        <v>0</v>
      </c>
      <c r="U22"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2" s="160">
        <f>Logiciels_sur_site[[#This Row],[Champ d''application 2 (kgCO2e)]]+Logiciels_sur_site[[#This Row],[Champ d''application 3 (kgCO2e)]]</f>
        <v>0</v>
      </c>
    </row>
    <row r="23" spans="1:22" ht="15" customHeight="1" x14ac:dyDescent="0.3">
      <c r="B23" s="154"/>
      <c r="C23" s="155"/>
      <c r="D23" s="155"/>
      <c r="E23" s="210"/>
      <c r="F23" s="155"/>
      <c r="G23" s="155"/>
      <c r="H23" s="155"/>
      <c r="I23" s="210"/>
      <c r="J23" s="155"/>
      <c r="K23" s="210"/>
      <c r="L23" s="155"/>
      <c r="M23" s="212"/>
      <c r="N23" s="212"/>
      <c r="O23" s="157"/>
      <c r="P23" s="158">
        <f>IFERROR(VLOOKUP(Logiciels_sur_site[[#This Row],[Emplacements des serveurs ]],Mix_électrique[],2,FALSE),0)</f>
        <v>0</v>
      </c>
      <c r="Q23" s="160">
        <f>IF(Logiciels_sur_site[[#This Row],[Serveurs physiques (unité)]]="",Logiciels_sur_site[[#This Row],[CPU physique calculée (unité)]]/'3.3 Hypothèses'!$D$12,Logiciels_sur_site[[#This Row],[Serveurs physiques (unité)]])</f>
        <v>0</v>
      </c>
      <c r="R23" s="160">
        <f>Logiciels_sur_site[[#This Row],[vCPU (unité)]]/'3.3 Hypothèses'!$D$13+Logiciels_sur_site[[#This Row],[CPU physiques (unité)]]</f>
        <v>0</v>
      </c>
      <c r="S23" s="160">
        <f>Logiciels_sur_site[[#This Row],[CPU physique calculée (unité)]]*'3.2 Facteurs d''émission'!$M$53*Logiciels_sur_site[[#This Row],[PUE]]</f>
        <v>0</v>
      </c>
      <c r="T23" s="159">
        <f>Logiciels_sur_site[[#This Row],[Mix électrique (kgCO2e / kWh)]]*Logiciels_sur_site[[#This Row],[Consommation électrique (kWh)]]</f>
        <v>0</v>
      </c>
      <c r="U23"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3" s="160">
        <f>Logiciels_sur_site[[#This Row],[Champ d''application 2 (kgCO2e)]]+Logiciels_sur_site[[#This Row],[Champ d''application 3 (kgCO2e)]]</f>
        <v>0</v>
      </c>
    </row>
    <row r="24" spans="1:22" ht="15" customHeight="1" x14ac:dyDescent="0.3">
      <c r="B24" s="154"/>
      <c r="C24" s="155"/>
      <c r="D24" s="155"/>
      <c r="E24" s="210"/>
      <c r="F24" s="155"/>
      <c r="G24" s="155"/>
      <c r="H24" s="155"/>
      <c r="I24" s="210"/>
      <c r="J24" s="155"/>
      <c r="K24" s="210"/>
      <c r="L24" s="155"/>
      <c r="M24" s="212"/>
      <c r="N24" s="212"/>
      <c r="O24" s="157"/>
      <c r="P24" s="158">
        <f>IFERROR(VLOOKUP(Logiciels_sur_site[[#This Row],[Emplacements des serveurs ]],Mix_électrique[],2,FALSE),0)</f>
        <v>0</v>
      </c>
      <c r="Q24" s="160">
        <f>IF(Logiciels_sur_site[[#This Row],[Serveurs physiques (unité)]]="",Logiciels_sur_site[[#This Row],[CPU physique calculée (unité)]]/'3.3 Hypothèses'!$D$12,Logiciels_sur_site[[#This Row],[Serveurs physiques (unité)]])</f>
        <v>0</v>
      </c>
      <c r="R24" s="160">
        <f>Logiciels_sur_site[[#This Row],[vCPU (unité)]]/'3.3 Hypothèses'!$D$13+Logiciels_sur_site[[#This Row],[CPU physiques (unité)]]</f>
        <v>0</v>
      </c>
      <c r="S24" s="160">
        <f>Logiciels_sur_site[[#This Row],[CPU physique calculée (unité)]]*'3.2 Facteurs d''émission'!$M$53*Logiciels_sur_site[[#This Row],[PUE]]</f>
        <v>0</v>
      </c>
      <c r="T24" s="159">
        <f>Logiciels_sur_site[[#This Row],[Mix électrique (kgCO2e / kWh)]]*Logiciels_sur_site[[#This Row],[Consommation électrique (kWh)]]</f>
        <v>0</v>
      </c>
      <c r="U24"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4" s="160">
        <f>Logiciels_sur_site[[#This Row],[Champ d''application 2 (kgCO2e)]]+Logiciels_sur_site[[#This Row],[Champ d''application 3 (kgCO2e)]]</f>
        <v>0</v>
      </c>
    </row>
    <row r="25" spans="1:22" ht="15" customHeight="1" x14ac:dyDescent="0.3">
      <c r="B25" s="154"/>
      <c r="C25" s="155"/>
      <c r="D25" s="155"/>
      <c r="E25" s="210"/>
      <c r="F25" s="155"/>
      <c r="G25" s="155"/>
      <c r="H25" s="155"/>
      <c r="I25" s="210"/>
      <c r="J25" s="155"/>
      <c r="K25" s="210"/>
      <c r="L25" s="155"/>
      <c r="M25" s="212"/>
      <c r="N25" s="212"/>
      <c r="O25" s="157"/>
      <c r="P25" s="158">
        <f>IFERROR(VLOOKUP(Logiciels_sur_site[[#This Row],[Emplacements des serveurs ]],Mix_électrique[],2,FALSE),0)</f>
        <v>0</v>
      </c>
      <c r="Q25" s="160">
        <f>IF(Logiciels_sur_site[[#This Row],[Serveurs physiques (unité)]]="",Logiciels_sur_site[[#This Row],[CPU physique calculée (unité)]]/'3.3 Hypothèses'!$D$12,Logiciels_sur_site[[#This Row],[Serveurs physiques (unité)]])</f>
        <v>0</v>
      </c>
      <c r="R25" s="160">
        <f>Logiciels_sur_site[[#This Row],[vCPU (unité)]]/'3.3 Hypothèses'!$D$13+Logiciels_sur_site[[#This Row],[CPU physiques (unité)]]</f>
        <v>0</v>
      </c>
      <c r="S25" s="160">
        <f>Logiciels_sur_site[[#This Row],[CPU physique calculée (unité)]]*'3.2 Facteurs d''émission'!$M$53*Logiciels_sur_site[[#This Row],[PUE]]</f>
        <v>0</v>
      </c>
      <c r="T25" s="159">
        <f>Logiciels_sur_site[[#This Row],[Mix électrique (kgCO2e / kWh)]]*Logiciels_sur_site[[#This Row],[Consommation électrique (kWh)]]</f>
        <v>0</v>
      </c>
      <c r="U25" s="159">
        <f>IFERROR((Logiciels_sur_site[[#This Row],[Serveur physique calculé (unité)]]*'3.2 Facteurs d''émission'!$G$68*'3.3 Hypothèses'!$D$14+Logiciels_sur_site[[#This Row],[Serveur physique calculé (unité)]]*'3.2 Facteurs d''émission'!$F$47+Logiciels_sur_site[[#This Row],[CPU physique calculée (unité)]]*'3.2 Facteurs d''émission'!$J$47+Logiciels_sur_site[[#This Row],[RAM (GB)]]*'3.2 Facteurs d''émission'!$H$47+Logiciels_sur_site[[#This Row],[Disque dur/HDD (unité)]]*'3.2 Facteurs d''émission'!$N$47+Logiciels_sur_site[[#This Row],[SSD (GB)]]*'3.2 Facteurs d''émission'!$O$47)/Logiciels_sur_site[[#This Row],[Durée de vie des serveurs]],0)</f>
        <v>0</v>
      </c>
      <c r="V25" s="160">
        <f>Logiciels_sur_site[[#This Row],[Champ d''application 2 (kgCO2e)]]+Logiciels_sur_site[[#This Row],[Champ d''application 3 (kgCO2e)]]</f>
        <v>0</v>
      </c>
    </row>
    <row r="26" spans="1:22" ht="12.65" customHeight="1" x14ac:dyDescent="0.3"/>
    <row r="27" spans="1:22" ht="14" x14ac:dyDescent="0.3"/>
    <row r="28" spans="1:22" ht="40" x14ac:dyDescent="0.3">
      <c r="A28" s="133" t="s">
        <v>716</v>
      </c>
    </row>
    <row r="29" spans="1:22" ht="20" x14ac:dyDescent="0.3">
      <c r="A29" s="162"/>
    </row>
    <row r="30" spans="1:22" ht="20" x14ac:dyDescent="0.3">
      <c r="A30" s="162"/>
    </row>
    <row r="31" spans="1:22" ht="20" x14ac:dyDescent="0.3">
      <c r="A31" s="162"/>
    </row>
    <row r="32" spans="1:22" ht="14" x14ac:dyDescent="0.3"/>
    <row r="33" spans="1:22" ht="22" customHeight="1" x14ac:dyDescent="0.3"/>
    <row r="34" spans="1:22" ht="27" customHeight="1" x14ac:dyDescent="0.3">
      <c r="A34" s="77" t="s">
        <v>588</v>
      </c>
    </row>
    <row r="35" spans="1:22" ht="42" x14ac:dyDescent="0.3">
      <c r="B35" s="153" t="s">
        <v>572</v>
      </c>
      <c r="C35" s="153" t="s">
        <v>589</v>
      </c>
      <c r="D35" s="153" t="s">
        <v>590</v>
      </c>
      <c r="E35" s="153" t="s">
        <v>591</v>
      </c>
      <c r="F35" s="153" t="s">
        <v>592</v>
      </c>
      <c r="G35" s="89" t="s">
        <v>593</v>
      </c>
      <c r="H35" s="89" t="s">
        <v>118</v>
      </c>
      <c r="I35" s="89" t="s">
        <v>578</v>
      </c>
      <c r="J35" s="89" t="s">
        <v>594</v>
      </c>
      <c r="K35" s="89" t="s">
        <v>579</v>
      </c>
      <c r="L35" s="89" t="s">
        <v>119</v>
      </c>
      <c r="M35" s="89" t="s">
        <v>717</v>
      </c>
      <c r="N35" s="89" t="s">
        <v>120</v>
      </c>
      <c r="O35" s="89" t="s">
        <v>581</v>
      </c>
      <c r="P35" s="89" t="s">
        <v>800</v>
      </c>
      <c r="Q35" s="89" t="s">
        <v>595</v>
      </c>
      <c r="R35" s="89" t="s">
        <v>596</v>
      </c>
      <c r="S35" s="89" t="s">
        <v>582</v>
      </c>
      <c r="T35" s="89" t="s">
        <v>583</v>
      </c>
      <c r="U35" s="89" t="s">
        <v>584</v>
      </c>
      <c r="V35" s="49" t="s">
        <v>585</v>
      </c>
    </row>
    <row r="36" spans="1:22" ht="15" customHeight="1" x14ac:dyDescent="0.3">
      <c r="B36" s="154" t="s">
        <v>208</v>
      </c>
      <c r="C36" s="155" t="s">
        <v>132</v>
      </c>
      <c r="D36" s="155" t="s">
        <v>597</v>
      </c>
      <c r="E36" s="210"/>
      <c r="F36" s="155">
        <v>5</v>
      </c>
      <c r="G36" s="155" t="s">
        <v>92</v>
      </c>
      <c r="H36" s="155">
        <v>1.59</v>
      </c>
      <c r="I36" s="210">
        <v>8</v>
      </c>
      <c r="J36" s="155"/>
      <c r="K36" s="210">
        <v>16</v>
      </c>
      <c r="L36" s="155">
        <v>8000</v>
      </c>
      <c r="M36" s="211">
        <v>8.6746987949999994</v>
      </c>
      <c r="N36" s="212">
        <v>21274.248879999999</v>
      </c>
      <c r="O36" s="157"/>
      <c r="P36" s="158">
        <f>IFERROR(VLOOKUP(Methodologie_du_serveur_logiciels_sur_cloud[[#This Row],[Emplacements des serveurs ]],Mix_électrique[],2,FALSE),0)</f>
        <v>5.8000000000000003E-2</v>
      </c>
      <c r="Q36" s="159">
        <f>IF(Methodologie_du_serveur_logiciels_sur_cloud[[#This Row],[Serveurs physiques (unité)]]="",Methodologie_du_serveur_logiciels_sur_cloud[[#This Row],[CPU physique calculée (unité)]]/'3.3 Hypothèses'!$D$12,Methodologie_du_serveur_logiciels_sur_cloud[[#This Row],[Serveurs physiques (unité)]])</f>
        <v>8</v>
      </c>
      <c r="R36" s="160">
        <f>Methodologie_du_serveur_logiciels_sur_cloud[[#This Row],[vCPU (unité)]]/'3.3 Hypothèses'!$D$13+Methodologie_du_serveur_logiciels_sur_cloud[[#This Row],[CPU physiques (unité)]]</f>
        <v>16</v>
      </c>
      <c r="S36" s="160">
        <f>Methodologie_du_serveur_logiciels_sur_cloud[[#This Row],[CPU physique calculée (unité)]]*'3.2 Facteurs d''émission'!$M$53*Methodologie_du_serveur_logiciels_sur_cloud[[#This Row],[PUE]]</f>
        <v>22486.008960000003</v>
      </c>
      <c r="T36" s="159">
        <f>Methodologie_du_serveur_logiciels_sur_cloud[[#This Row],[Mix électrique (kgCO2e / kWh)]]*Methodologie_du_serveur_logiciels_sur_cloud[[#This Row],[Consommation électrique (kWh)]]</f>
        <v>1304.1885196800001</v>
      </c>
      <c r="U36"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7195.588004193788</v>
      </c>
      <c r="V36" s="160">
        <f>Methodologie_du_serveur_logiciels_sur_cloud[[#This Row],[Champ d''application 2 (kgCO2e)]]+Methodologie_du_serveur_logiciels_sur_cloud[[#This Row],[Champ d''application 3 (kgCO2e)]]</f>
        <v>8499.7765238737884</v>
      </c>
    </row>
    <row r="37" spans="1:22" ht="15" customHeight="1" x14ac:dyDescent="0.3">
      <c r="B37" s="154" t="s">
        <v>208</v>
      </c>
      <c r="C37" s="155" t="s">
        <v>133</v>
      </c>
      <c r="D37" s="155" t="s">
        <v>598</v>
      </c>
      <c r="E37" s="210"/>
      <c r="F37" s="155">
        <v>5</v>
      </c>
      <c r="G37" s="155" t="s">
        <v>92</v>
      </c>
      <c r="H37" s="155">
        <v>1.59</v>
      </c>
      <c r="I37" s="210">
        <v>6</v>
      </c>
      <c r="J37" s="155"/>
      <c r="K37" s="210">
        <v>216</v>
      </c>
      <c r="L37" s="155">
        <v>9000</v>
      </c>
      <c r="M37" s="211">
        <v>8.6746987949999994</v>
      </c>
      <c r="N37" s="212">
        <v>21274.248879999999</v>
      </c>
      <c r="O37" s="157"/>
      <c r="P37" s="158">
        <f>IFERROR(VLOOKUP(Methodologie_du_serveur_logiciels_sur_cloud[[#This Row],[Emplacements des serveurs ]],Mix_électrique[],2,FALSE),0)</f>
        <v>5.8000000000000003E-2</v>
      </c>
      <c r="Q37" s="159">
        <f>IF(Methodologie_du_serveur_logiciels_sur_cloud[[#This Row],[Serveurs physiques (unité)]]="",Methodologie_du_serveur_logiciels_sur_cloud[[#This Row],[CPU physique calculée (unité)]]/'3.3 Hypothèses'!$D$12,Methodologie_du_serveur_logiciels_sur_cloud[[#This Row],[Serveurs physiques (unité)]])</f>
        <v>6</v>
      </c>
      <c r="R37" s="160">
        <f>Methodologie_du_serveur_logiciels_sur_cloud[[#This Row],[vCPU (unité)]]/'3.3 Hypothèses'!$D$13+Methodologie_du_serveur_logiciels_sur_cloud[[#This Row],[CPU physiques (unité)]]</f>
        <v>216</v>
      </c>
      <c r="S37" s="160">
        <f>Methodologie_du_serveur_logiciels_sur_cloud[[#This Row],[CPU physique calculée (unité)]]*'3.2 Facteurs d''émission'!$M$53*Methodologie_du_serveur_logiciels_sur_cloud[[#This Row],[PUE]]</f>
        <v>303561.12096000003</v>
      </c>
      <c r="T37" s="159">
        <f>Methodologie_du_serveur_logiciels_sur_cloud[[#This Row],[Mix électrique (kgCO2e / kWh)]]*Methodologie_du_serveur_logiciels_sur_cloud[[#This Row],[Consommation électrique (kWh)]]</f>
        <v>17606.545015680003</v>
      </c>
      <c r="U37"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13383.36578197157</v>
      </c>
      <c r="V37" s="160">
        <f>Methodologie_du_serveur_logiciels_sur_cloud[[#This Row],[Champ d''application 2 (kgCO2e)]]+Methodologie_du_serveur_logiciels_sur_cloud[[#This Row],[Champ d''application 3 (kgCO2e)]]</f>
        <v>30989.910797651573</v>
      </c>
    </row>
    <row r="38" spans="1:22" ht="15" customHeight="1" x14ac:dyDescent="0.3">
      <c r="B38" s="154"/>
      <c r="C38" s="155"/>
      <c r="D38" s="155"/>
      <c r="E38" s="210"/>
      <c r="F38" s="155"/>
      <c r="G38" s="155"/>
      <c r="H38" s="155"/>
      <c r="I38" s="210"/>
      <c r="J38" s="155"/>
      <c r="K38" s="210"/>
      <c r="L38" s="155"/>
      <c r="M38" s="211"/>
      <c r="N38" s="212"/>
      <c r="O38" s="157"/>
      <c r="P38" s="158">
        <f>IFERROR(VLOOKUP(Methodologie_du_serveur_logiciels_sur_cloud[[#This Row],[Emplacements des serveurs ]],Mix_électrique[],2,FALSE),0)</f>
        <v>0</v>
      </c>
      <c r="Q38" s="159">
        <f>IF(Methodologie_du_serveur_logiciels_sur_cloud[[#This Row],[Serveurs physiques (unité)]]="",Methodologie_du_serveur_logiciels_sur_cloud[[#This Row],[CPU physique calculée (unité)]]/'3.3 Hypothèses'!$D$12,Methodologie_du_serveur_logiciels_sur_cloud[[#This Row],[Serveurs physiques (unité)]])</f>
        <v>0</v>
      </c>
      <c r="R38" s="160">
        <f>Methodologie_du_serveur_logiciels_sur_cloud[[#This Row],[vCPU (unité)]]/'3.3 Hypothèses'!$D$13+Methodologie_du_serveur_logiciels_sur_cloud[[#This Row],[CPU physiques (unité)]]</f>
        <v>0</v>
      </c>
      <c r="S38" s="160">
        <f>Methodologie_du_serveur_logiciels_sur_cloud[[#This Row],[CPU physique calculée (unité)]]*'3.2 Facteurs d''émission'!$M$53*Methodologie_du_serveur_logiciels_sur_cloud[[#This Row],[PUE]]</f>
        <v>0</v>
      </c>
      <c r="T38" s="159">
        <f>Methodologie_du_serveur_logiciels_sur_cloud[[#This Row],[Mix électrique (kgCO2e / kWh)]]*Methodologie_du_serveur_logiciels_sur_cloud[[#This Row],[Consommation électrique (kWh)]]</f>
        <v>0</v>
      </c>
      <c r="U38"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38" s="160">
        <f>Methodologie_du_serveur_logiciels_sur_cloud[[#This Row],[Champ d''application 2 (kgCO2e)]]+Methodologie_du_serveur_logiciels_sur_cloud[[#This Row],[Champ d''application 3 (kgCO2e)]]</f>
        <v>0</v>
      </c>
    </row>
    <row r="39" spans="1:22" ht="15" customHeight="1" x14ac:dyDescent="0.3">
      <c r="B39" s="154"/>
      <c r="C39" s="155"/>
      <c r="D39" s="155"/>
      <c r="E39" s="210"/>
      <c r="F39" s="155"/>
      <c r="G39" s="155"/>
      <c r="H39" s="155"/>
      <c r="I39" s="210"/>
      <c r="J39" s="155"/>
      <c r="K39" s="210"/>
      <c r="L39" s="155"/>
      <c r="M39" s="212"/>
      <c r="N39" s="212"/>
      <c r="O39" s="157"/>
      <c r="P39" s="158">
        <f>IFERROR(VLOOKUP(Methodologie_du_serveur_logiciels_sur_cloud[[#This Row],[Emplacements des serveurs ]],Mix_électrique[],2,FALSE),0)</f>
        <v>0</v>
      </c>
      <c r="Q39" s="160">
        <f>IF(Methodologie_du_serveur_logiciels_sur_cloud[[#This Row],[Serveurs physiques (unité)]]="",Methodologie_du_serveur_logiciels_sur_cloud[[#This Row],[CPU physique calculée (unité)]]/'3.3 Hypothèses'!$D$12,Methodologie_du_serveur_logiciels_sur_cloud[[#This Row],[Serveurs physiques (unité)]])</f>
        <v>0</v>
      </c>
      <c r="R39" s="160">
        <f>Methodologie_du_serveur_logiciels_sur_cloud[[#This Row],[vCPU (unité)]]/'3.3 Hypothèses'!$D$13+Methodologie_du_serveur_logiciels_sur_cloud[[#This Row],[CPU physiques (unité)]]</f>
        <v>0</v>
      </c>
      <c r="S39" s="160">
        <f>Methodologie_du_serveur_logiciels_sur_cloud[[#This Row],[CPU physique calculée (unité)]]*'3.2 Facteurs d''émission'!$M$53*Methodologie_du_serveur_logiciels_sur_cloud[[#This Row],[PUE]]</f>
        <v>0</v>
      </c>
      <c r="T39" s="159">
        <f>Methodologie_du_serveur_logiciels_sur_cloud[[#This Row],[Mix électrique (kgCO2e / kWh)]]*Methodologie_du_serveur_logiciels_sur_cloud[[#This Row],[Consommation électrique (kWh)]]</f>
        <v>0</v>
      </c>
      <c r="U39"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39" s="160">
        <f>Methodologie_du_serveur_logiciels_sur_cloud[[#This Row],[Champ d''application 2 (kgCO2e)]]+Methodologie_du_serveur_logiciels_sur_cloud[[#This Row],[Champ d''application 3 (kgCO2e)]]</f>
        <v>0</v>
      </c>
    </row>
    <row r="40" spans="1:22" ht="15" customHeight="1" x14ac:dyDescent="0.3">
      <c r="B40" s="154"/>
      <c r="C40" s="155"/>
      <c r="D40" s="155"/>
      <c r="E40" s="210"/>
      <c r="F40" s="155"/>
      <c r="G40" s="155"/>
      <c r="H40" s="155"/>
      <c r="I40" s="210"/>
      <c r="J40" s="155"/>
      <c r="K40" s="210"/>
      <c r="L40" s="155"/>
      <c r="M40" s="212"/>
      <c r="N40" s="212"/>
      <c r="O40" s="157"/>
      <c r="P40" s="158">
        <f>IFERROR(VLOOKUP(Methodologie_du_serveur_logiciels_sur_cloud[[#This Row],[Emplacements des serveurs ]],Mix_électrique[],2,FALSE),0)</f>
        <v>0</v>
      </c>
      <c r="Q40" s="160">
        <f>IF(Methodologie_du_serveur_logiciels_sur_cloud[[#This Row],[Serveurs physiques (unité)]]="",Methodologie_du_serveur_logiciels_sur_cloud[[#This Row],[CPU physique calculée (unité)]]/'3.3 Hypothèses'!$D$12,Methodologie_du_serveur_logiciels_sur_cloud[[#This Row],[Serveurs physiques (unité)]])</f>
        <v>0</v>
      </c>
      <c r="R40" s="160">
        <f>Methodologie_du_serveur_logiciels_sur_cloud[[#This Row],[vCPU (unité)]]/'3.3 Hypothèses'!$D$13+Methodologie_du_serveur_logiciels_sur_cloud[[#This Row],[CPU physiques (unité)]]</f>
        <v>0</v>
      </c>
      <c r="S40" s="160">
        <f>Methodologie_du_serveur_logiciels_sur_cloud[[#This Row],[CPU physique calculée (unité)]]*'3.2 Facteurs d''émission'!$M$53*Methodologie_du_serveur_logiciels_sur_cloud[[#This Row],[PUE]]</f>
        <v>0</v>
      </c>
      <c r="T40" s="159">
        <f>Methodologie_du_serveur_logiciels_sur_cloud[[#This Row],[Mix électrique (kgCO2e / kWh)]]*Methodologie_du_serveur_logiciels_sur_cloud[[#This Row],[Consommation électrique (kWh)]]</f>
        <v>0</v>
      </c>
      <c r="U40"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0" s="160">
        <f>Methodologie_du_serveur_logiciels_sur_cloud[[#This Row],[Champ d''application 2 (kgCO2e)]]+Methodologie_du_serveur_logiciels_sur_cloud[[#This Row],[Champ d''application 3 (kgCO2e)]]</f>
        <v>0</v>
      </c>
    </row>
    <row r="41" spans="1:22" ht="15" customHeight="1" x14ac:dyDescent="0.3">
      <c r="B41" s="154"/>
      <c r="C41" s="155"/>
      <c r="D41" s="155"/>
      <c r="E41" s="210"/>
      <c r="F41" s="155"/>
      <c r="G41" s="155"/>
      <c r="H41" s="155"/>
      <c r="I41" s="210"/>
      <c r="J41" s="155"/>
      <c r="K41" s="210"/>
      <c r="L41" s="155"/>
      <c r="M41" s="212"/>
      <c r="N41" s="212"/>
      <c r="O41" s="157"/>
      <c r="P41" s="158">
        <f>IFERROR(VLOOKUP(Methodologie_du_serveur_logiciels_sur_cloud[[#This Row],[Emplacements des serveurs ]],Mix_électrique[],2,FALSE),0)</f>
        <v>0</v>
      </c>
      <c r="Q41" s="160">
        <f>IF(Methodologie_du_serveur_logiciels_sur_cloud[[#This Row],[Serveurs physiques (unité)]]="",Methodologie_du_serveur_logiciels_sur_cloud[[#This Row],[CPU physique calculée (unité)]]/'3.3 Hypothèses'!$D$12,Methodologie_du_serveur_logiciels_sur_cloud[[#This Row],[Serveurs physiques (unité)]])</f>
        <v>0</v>
      </c>
      <c r="R41" s="160">
        <f>Methodologie_du_serveur_logiciels_sur_cloud[[#This Row],[vCPU (unité)]]/'3.3 Hypothèses'!$D$13+Methodologie_du_serveur_logiciels_sur_cloud[[#This Row],[CPU physiques (unité)]]</f>
        <v>0</v>
      </c>
      <c r="S41" s="160">
        <f>Methodologie_du_serveur_logiciels_sur_cloud[[#This Row],[CPU physique calculée (unité)]]*'3.2 Facteurs d''émission'!$M$53*Methodologie_du_serveur_logiciels_sur_cloud[[#This Row],[PUE]]</f>
        <v>0</v>
      </c>
      <c r="T41" s="159">
        <f>Methodologie_du_serveur_logiciels_sur_cloud[[#This Row],[Mix électrique (kgCO2e / kWh)]]*Methodologie_du_serveur_logiciels_sur_cloud[[#This Row],[Consommation électrique (kWh)]]</f>
        <v>0</v>
      </c>
      <c r="U41"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1" s="160">
        <f>Methodologie_du_serveur_logiciels_sur_cloud[[#This Row],[Champ d''application 2 (kgCO2e)]]+Methodologie_du_serveur_logiciels_sur_cloud[[#This Row],[Champ d''application 3 (kgCO2e)]]</f>
        <v>0</v>
      </c>
    </row>
    <row r="42" spans="1:22" ht="15" customHeight="1" x14ac:dyDescent="0.3">
      <c r="B42" s="154"/>
      <c r="C42" s="155"/>
      <c r="D42" s="155"/>
      <c r="E42" s="210"/>
      <c r="F42" s="155"/>
      <c r="G42" s="155"/>
      <c r="H42" s="155"/>
      <c r="I42" s="210"/>
      <c r="J42" s="155"/>
      <c r="K42" s="210"/>
      <c r="L42" s="155"/>
      <c r="M42" s="212"/>
      <c r="N42" s="212"/>
      <c r="O42" s="157"/>
      <c r="P42" s="158">
        <f>IFERROR(VLOOKUP(Methodologie_du_serveur_logiciels_sur_cloud[[#This Row],[Emplacements des serveurs ]],Mix_électrique[],2,FALSE),0)</f>
        <v>0</v>
      </c>
      <c r="Q42" s="160">
        <f>IF(Methodologie_du_serveur_logiciels_sur_cloud[[#This Row],[Serveurs physiques (unité)]]="",Methodologie_du_serveur_logiciels_sur_cloud[[#This Row],[CPU physique calculée (unité)]]/'3.3 Hypothèses'!$D$12,Methodologie_du_serveur_logiciels_sur_cloud[[#This Row],[Serveurs physiques (unité)]])</f>
        <v>0</v>
      </c>
      <c r="R42" s="160">
        <f>Methodologie_du_serveur_logiciels_sur_cloud[[#This Row],[vCPU (unité)]]/'3.3 Hypothèses'!$D$13+Methodologie_du_serveur_logiciels_sur_cloud[[#This Row],[CPU physiques (unité)]]</f>
        <v>0</v>
      </c>
      <c r="S42" s="161">
        <f>Methodologie_du_serveur_logiciels_sur_cloud[[#This Row],[CPU physique calculée (unité)]]*'3.2 Facteurs d''émission'!$M$53*Methodologie_du_serveur_logiciels_sur_cloud[[#This Row],[PUE]]</f>
        <v>0</v>
      </c>
      <c r="T42" s="159">
        <f>Methodologie_du_serveur_logiciels_sur_cloud[[#This Row],[Mix électrique (kgCO2e / kWh)]]*Methodologie_du_serveur_logiciels_sur_cloud[[#This Row],[Consommation électrique (kWh)]]</f>
        <v>0</v>
      </c>
      <c r="U42"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2" s="161">
        <f>Methodologie_du_serveur_logiciels_sur_cloud[[#This Row],[Champ d''application 2 (kgCO2e)]]+Methodologie_du_serveur_logiciels_sur_cloud[[#This Row],[Champ d''application 3 (kgCO2e)]]</f>
        <v>0</v>
      </c>
    </row>
    <row r="43" spans="1:22" ht="15" customHeight="1" x14ac:dyDescent="0.3">
      <c r="B43" s="154"/>
      <c r="C43" s="155"/>
      <c r="D43" s="155"/>
      <c r="E43" s="210"/>
      <c r="F43" s="155"/>
      <c r="G43" s="155"/>
      <c r="H43" s="155"/>
      <c r="I43" s="210"/>
      <c r="J43" s="155"/>
      <c r="K43" s="210"/>
      <c r="L43" s="155"/>
      <c r="M43" s="212"/>
      <c r="N43" s="212"/>
      <c r="O43" s="157"/>
      <c r="P43" s="158">
        <f>IFERROR(VLOOKUP(Methodologie_du_serveur_logiciels_sur_cloud[[#This Row],[Emplacements des serveurs ]],Mix_électrique[],2,FALSE),0)</f>
        <v>0</v>
      </c>
      <c r="Q43" s="160">
        <f>IF(Methodologie_du_serveur_logiciels_sur_cloud[[#This Row],[Serveurs physiques (unité)]]="",Methodologie_du_serveur_logiciels_sur_cloud[[#This Row],[CPU physique calculée (unité)]]/'3.3 Hypothèses'!$D$12,Methodologie_du_serveur_logiciels_sur_cloud[[#This Row],[Serveurs physiques (unité)]])</f>
        <v>0</v>
      </c>
      <c r="R43" s="160">
        <f>Methodologie_du_serveur_logiciels_sur_cloud[[#This Row],[vCPU (unité)]]/'3.3 Hypothèses'!$D$13+Methodologie_du_serveur_logiciels_sur_cloud[[#This Row],[CPU physiques (unité)]]</f>
        <v>0</v>
      </c>
      <c r="S43" s="160">
        <f>Methodologie_du_serveur_logiciels_sur_cloud[[#This Row],[CPU physique calculée (unité)]]*'3.2 Facteurs d''émission'!$M$53*Methodologie_du_serveur_logiciels_sur_cloud[[#This Row],[PUE]]</f>
        <v>0</v>
      </c>
      <c r="T43" s="159">
        <f>Methodologie_du_serveur_logiciels_sur_cloud[[#This Row],[Mix électrique (kgCO2e / kWh)]]*Methodologie_du_serveur_logiciels_sur_cloud[[#This Row],[Consommation électrique (kWh)]]</f>
        <v>0</v>
      </c>
      <c r="U43"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3" s="160">
        <f>Methodologie_du_serveur_logiciels_sur_cloud[[#This Row],[Champ d''application 2 (kgCO2e)]]+Methodologie_du_serveur_logiciels_sur_cloud[[#This Row],[Champ d''application 3 (kgCO2e)]]</f>
        <v>0</v>
      </c>
    </row>
    <row r="44" spans="1:22" ht="15" customHeight="1" x14ac:dyDescent="0.3">
      <c r="B44" s="154"/>
      <c r="C44" s="155"/>
      <c r="D44" s="155"/>
      <c r="E44" s="210"/>
      <c r="F44" s="155"/>
      <c r="G44" s="155"/>
      <c r="H44" s="155"/>
      <c r="I44" s="210"/>
      <c r="J44" s="155"/>
      <c r="K44" s="210"/>
      <c r="L44" s="155"/>
      <c r="M44" s="212"/>
      <c r="N44" s="212"/>
      <c r="O44" s="157"/>
      <c r="P44" s="158">
        <f>IFERROR(VLOOKUP(Methodologie_du_serveur_logiciels_sur_cloud[[#This Row],[Emplacements des serveurs ]],Mix_électrique[],2,FALSE),0)</f>
        <v>0</v>
      </c>
      <c r="Q44" s="160">
        <f>IF(Methodologie_du_serveur_logiciels_sur_cloud[[#This Row],[Serveurs physiques (unité)]]="",Methodologie_du_serveur_logiciels_sur_cloud[[#This Row],[CPU physique calculée (unité)]]/'3.3 Hypothèses'!$D$12,Methodologie_du_serveur_logiciels_sur_cloud[[#This Row],[Serveurs physiques (unité)]])</f>
        <v>0</v>
      </c>
      <c r="R44" s="160">
        <f>Methodologie_du_serveur_logiciels_sur_cloud[[#This Row],[vCPU (unité)]]/'3.3 Hypothèses'!$D$13+Methodologie_du_serveur_logiciels_sur_cloud[[#This Row],[CPU physiques (unité)]]</f>
        <v>0</v>
      </c>
      <c r="S44" s="160">
        <f>Methodologie_du_serveur_logiciels_sur_cloud[[#This Row],[CPU physique calculée (unité)]]*'3.2 Facteurs d''émission'!$M$53*Methodologie_du_serveur_logiciels_sur_cloud[[#This Row],[PUE]]</f>
        <v>0</v>
      </c>
      <c r="T44" s="159">
        <f>Methodologie_du_serveur_logiciels_sur_cloud[[#This Row],[Mix électrique (kgCO2e / kWh)]]*Methodologie_du_serveur_logiciels_sur_cloud[[#This Row],[Consommation électrique (kWh)]]</f>
        <v>0</v>
      </c>
      <c r="U44"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4" s="160">
        <f>Methodologie_du_serveur_logiciels_sur_cloud[[#This Row],[Champ d''application 2 (kgCO2e)]]+Methodologie_du_serveur_logiciels_sur_cloud[[#This Row],[Champ d''application 3 (kgCO2e)]]</f>
        <v>0</v>
      </c>
    </row>
    <row r="45" spans="1:22" ht="15" customHeight="1" x14ac:dyDescent="0.3">
      <c r="B45" s="154"/>
      <c r="C45" s="155"/>
      <c r="D45" s="155"/>
      <c r="E45" s="210"/>
      <c r="F45" s="155"/>
      <c r="G45" s="155"/>
      <c r="H45" s="155"/>
      <c r="I45" s="210"/>
      <c r="J45" s="155"/>
      <c r="K45" s="210"/>
      <c r="L45" s="155"/>
      <c r="M45" s="212"/>
      <c r="N45" s="212"/>
      <c r="O45" s="157"/>
      <c r="P45" s="158">
        <f>IFERROR(VLOOKUP(Methodologie_du_serveur_logiciels_sur_cloud[[#This Row],[Emplacements des serveurs ]],Mix_électrique[],2,FALSE),0)</f>
        <v>0</v>
      </c>
      <c r="Q45" s="160">
        <f>IF(Methodologie_du_serveur_logiciels_sur_cloud[[#This Row],[Serveurs physiques (unité)]]="",Methodologie_du_serveur_logiciels_sur_cloud[[#This Row],[CPU physique calculée (unité)]]/'3.3 Hypothèses'!$D$12,Methodologie_du_serveur_logiciels_sur_cloud[[#This Row],[Serveurs physiques (unité)]])</f>
        <v>0</v>
      </c>
      <c r="R45" s="160">
        <f>Methodologie_du_serveur_logiciels_sur_cloud[[#This Row],[vCPU (unité)]]/'3.3 Hypothèses'!$D$13+Methodologie_du_serveur_logiciels_sur_cloud[[#This Row],[CPU physiques (unité)]]</f>
        <v>0</v>
      </c>
      <c r="S45" s="160">
        <f>Methodologie_du_serveur_logiciels_sur_cloud[[#This Row],[CPU physique calculée (unité)]]*'3.2 Facteurs d''émission'!$M$53*Methodologie_du_serveur_logiciels_sur_cloud[[#This Row],[PUE]]</f>
        <v>0</v>
      </c>
      <c r="T45" s="159">
        <f>Methodologie_du_serveur_logiciels_sur_cloud[[#This Row],[Mix électrique (kgCO2e / kWh)]]*Methodologie_du_serveur_logiciels_sur_cloud[[#This Row],[Consommation électrique (kWh)]]</f>
        <v>0</v>
      </c>
      <c r="U45"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5" s="160">
        <f>Methodologie_du_serveur_logiciels_sur_cloud[[#This Row],[Champ d''application 2 (kgCO2e)]]+Methodologie_du_serveur_logiciels_sur_cloud[[#This Row],[Champ d''application 3 (kgCO2e)]]</f>
        <v>0</v>
      </c>
    </row>
    <row r="46" spans="1:22" ht="15" customHeight="1" x14ac:dyDescent="0.3">
      <c r="B46" s="154"/>
      <c r="C46" s="155"/>
      <c r="D46" s="155"/>
      <c r="E46" s="210"/>
      <c r="F46" s="155"/>
      <c r="G46" s="155"/>
      <c r="H46" s="155"/>
      <c r="I46" s="210"/>
      <c r="J46" s="155"/>
      <c r="K46" s="210"/>
      <c r="L46" s="155"/>
      <c r="M46" s="212"/>
      <c r="N46" s="212"/>
      <c r="O46" s="157"/>
      <c r="P46" s="158">
        <f>IFERROR(VLOOKUP(Methodologie_du_serveur_logiciels_sur_cloud[[#This Row],[Emplacements des serveurs ]],Mix_électrique[],2,FALSE),0)</f>
        <v>0</v>
      </c>
      <c r="Q46" s="160">
        <f>IF(Methodologie_du_serveur_logiciels_sur_cloud[[#This Row],[Serveurs physiques (unité)]]="",Methodologie_du_serveur_logiciels_sur_cloud[[#This Row],[CPU physique calculée (unité)]]/'3.3 Hypothèses'!$D$12,Methodologie_du_serveur_logiciels_sur_cloud[[#This Row],[Serveurs physiques (unité)]])</f>
        <v>0</v>
      </c>
      <c r="R46" s="160">
        <f>Methodologie_du_serveur_logiciels_sur_cloud[[#This Row],[vCPU (unité)]]/'3.3 Hypothèses'!$D$13+Methodologie_du_serveur_logiciels_sur_cloud[[#This Row],[CPU physiques (unité)]]</f>
        <v>0</v>
      </c>
      <c r="S46" s="160">
        <f>Methodologie_du_serveur_logiciels_sur_cloud[[#This Row],[CPU physique calculée (unité)]]*'3.2 Facteurs d''émission'!$M$53*Methodologie_du_serveur_logiciels_sur_cloud[[#This Row],[PUE]]</f>
        <v>0</v>
      </c>
      <c r="T46" s="159">
        <f>Methodologie_du_serveur_logiciels_sur_cloud[[#This Row],[Mix électrique (kgCO2e / kWh)]]*Methodologie_du_serveur_logiciels_sur_cloud[[#This Row],[Consommation électrique (kWh)]]</f>
        <v>0</v>
      </c>
      <c r="U46" s="159">
        <f>IFERROR((Methodologie_du_serveur_logiciels_sur_cloud[[#This Row],[Serveur physique calculé (unité)]]*'3.2 Facteurs d''émission'!$G$68*'3.3 Hypothèses'!$D$14+Methodologie_du_serveur_logiciels_sur_cloud[[#This Row],[Serveur physique calculé (unité)]]*'3.2 Facteurs d''émission'!$F$47+Methodologie_du_serveur_logiciels_sur_cloud[[#This Row],[CPU physique calculée (unité)]]*'3.2 Facteurs d''émission'!$J$47+Methodologie_du_serveur_logiciels_sur_cloud[[#This Row],[RAM (GB)]]*'3.2 Facteurs d''émission'!$H$47+Methodologie_du_serveur_logiciels_sur_cloud[[#This Row],[Disque dur/HDD (unité)]]*'3.2 Facteurs d''émission'!$N$47+Methodologie_du_serveur_logiciels_sur_cloud[[#This Row],[SSD (GB)]]*'3.2 Facteurs d''émission'!$O$47)/Methodologie_du_serveur_logiciels_sur_cloud[[#This Row],[Durée de vie des serveurs]],0)</f>
        <v>0</v>
      </c>
      <c r="V46" s="160">
        <f>Methodologie_du_serveur_logiciels_sur_cloud[[#This Row],[Champ d''application 2 (kgCO2e)]]+Methodologie_du_serveur_logiciels_sur_cloud[[#This Row],[Champ d''application 3 (kgCO2e)]]</f>
        <v>0</v>
      </c>
    </row>
    <row r="48" spans="1:22" ht="20" x14ac:dyDescent="0.3">
      <c r="A48" s="77" t="s">
        <v>704</v>
      </c>
    </row>
    <row r="50" spans="2:8" ht="36.5" customHeight="1" x14ac:dyDescent="0.3">
      <c r="B50" s="153" t="s">
        <v>705</v>
      </c>
      <c r="C50" s="153" t="s">
        <v>590</v>
      </c>
      <c r="D50" s="153" t="s">
        <v>591</v>
      </c>
      <c r="E50" s="89" t="s">
        <v>706</v>
      </c>
      <c r="F50" s="89" t="s">
        <v>581</v>
      </c>
      <c r="G50" s="89" t="s">
        <v>707</v>
      </c>
      <c r="H50" s="49" t="s">
        <v>585</v>
      </c>
    </row>
    <row r="51" spans="2:8" ht="15" customHeight="1" x14ac:dyDescent="0.3">
      <c r="B51" s="155" t="s">
        <v>134</v>
      </c>
      <c r="C51" s="155"/>
      <c r="D51" s="210"/>
      <c r="E51" s="163">
        <v>21274.248879999999</v>
      </c>
      <c r="F51" s="157"/>
      <c r="G51" s="159">
        <f>'3.2 Facteurs d''émission'!$G$89</f>
        <v>75</v>
      </c>
      <c r="H51" s="159">
        <f>Methodogie_des_couts_Logiciels_dans_le_cloud[[#This Row],[Coût (k€)]]*Methodogie_des_couts_Logiciels_dans_le_cloud[[#This Row],[Facteur d''émission (kgCO2e / k€)]]</f>
        <v>1595568.666</v>
      </c>
    </row>
    <row r="52" spans="2:8" ht="15" customHeight="1" x14ac:dyDescent="0.3">
      <c r="B52" s="155" t="s">
        <v>135</v>
      </c>
      <c r="C52" s="155"/>
      <c r="D52" s="210"/>
      <c r="E52" s="163">
        <v>21274.248879999999</v>
      </c>
      <c r="F52" s="157"/>
      <c r="G52" s="159">
        <f>'3.2 Facteurs d''émission'!$G$89</f>
        <v>75</v>
      </c>
      <c r="H52" s="159">
        <f>Methodogie_des_couts_Logiciels_dans_le_cloud[[#This Row],[Coût (k€)]]*Methodogie_des_couts_Logiciels_dans_le_cloud[[#This Row],[Facteur d''émission (kgCO2e / k€)]]</f>
        <v>1595568.666</v>
      </c>
    </row>
    <row r="53" spans="2:8" ht="15" customHeight="1" x14ac:dyDescent="0.3">
      <c r="B53" s="155" t="s">
        <v>136</v>
      </c>
      <c r="C53" s="155"/>
      <c r="D53" s="210"/>
      <c r="E53" s="163">
        <v>16310.25748</v>
      </c>
      <c r="F53" s="157"/>
      <c r="G53" s="159">
        <f>'3.2 Facteurs d''émission'!$G$89</f>
        <v>75</v>
      </c>
      <c r="H53" s="159">
        <f>Methodogie_des_couts_Logiciels_dans_le_cloud[[#This Row],[Coût (k€)]]*Methodogie_des_couts_Logiciels_dans_le_cloud[[#This Row],[Facteur d''émission (kgCO2e / k€)]]</f>
        <v>1223269.311</v>
      </c>
    </row>
    <row r="54" spans="2:8" ht="15" customHeight="1" x14ac:dyDescent="0.3">
      <c r="B54" s="155" t="s">
        <v>137</v>
      </c>
      <c r="C54" s="155"/>
      <c r="D54" s="210"/>
      <c r="E54" s="163"/>
      <c r="F54" s="157"/>
      <c r="G54" s="159">
        <f>'3.2 Facteurs d''émission'!$G$89</f>
        <v>75</v>
      </c>
      <c r="H54" s="159">
        <f>Methodogie_des_couts_Logiciels_dans_le_cloud[[#This Row],[Coût (k€)]]*Methodogie_des_couts_Logiciels_dans_le_cloud[[#This Row],[Facteur d''émission (kgCO2e / k€)]]</f>
        <v>0</v>
      </c>
    </row>
    <row r="55" spans="2:8" ht="15" customHeight="1" x14ac:dyDescent="0.3">
      <c r="B55" s="155" t="s">
        <v>138</v>
      </c>
      <c r="C55" s="155"/>
      <c r="D55" s="210"/>
      <c r="E55" s="163"/>
      <c r="F55" s="157"/>
      <c r="G55" s="159">
        <f>'3.2 Facteurs d''émission'!$G$89</f>
        <v>75</v>
      </c>
      <c r="H55" s="159">
        <f>Methodogie_des_couts_Logiciels_dans_le_cloud[[#This Row],[Coût (k€)]]*Methodogie_des_couts_Logiciels_dans_le_cloud[[#This Row],[Facteur d''émission (kgCO2e / k€)]]</f>
        <v>0</v>
      </c>
    </row>
    <row r="56" spans="2:8" ht="15" customHeight="1" x14ac:dyDescent="0.3">
      <c r="B56" s="155" t="s">
        <v>139</v>
      </c>
      <c r="C56" s="155"/>
      <c r="D56" s="210"/>
      <c r="E56" s="163"/>
      <c r="F56" s="157"/>
      <c r="G56" s="159">
        <f>'3.2 Facteurs d''émission'!$G$89</f>
        <v>75</v>
      </c>
      <c r="H56" s="159">
        <f>Methodogie_des_couts_Logiciels_dans_le_cloud[[#This Row],[Coût (k€)]]*Methodogie_des_couts_Logiciels_dans_le_cloud[[#This Row],[Facteur d''émission (kgCO2e / k€)]]</f>
        <v>0</v>
      </c>
    </row>
    <row r="57" spans="2:8" ht="15" customHeight="1" x14ac:dyDescent="0.3">
      <c r="B57" s="155" t="s">
        <v>140</v>
      </c>
      <c r="C57" s="155"/>
      <c r="D57" s="210"/>
      <c r="E57" s="163"/>
      <c r="F57" s="157"/>
      <c r="G57" s="159">
        <f>'3.2 Facteurs d''émission'!$G$89</f>
        <v>75</v>
      </c>
      <c r="H57" s="159">
        <f>Methodogie_des_couts_Logiciels_dans_le_cloud[[#This Row],[Coût (k€)]]*Methodogie_des_couts_Logiciels_dans_le_cloud[[#This Row],[Facteur d''émission (kgCO2e / k€)]]</f>
        <v>0</v>
      </c>
    </row>
    <row r="58" spans="2:8" ht="15" customHeight="1" x14ac:dyDescent="0.3">
      <c r="B58" s="155" t="s">
        <v>141</v>
      </c>
      <c r="C58" s="155"/>
      <c r="D58" s="210"/>
      <c r="E58" s="163"/>
      <c r="F58" s="157"/>
      <c r="G58" s="159">
        <f>'3.2 Facteurs d''émission'!$G$89</f>
        <v>75</v>
      </c>
      <c r="H58" s="159">
        <f>Methodogie_des_couts_Logiciels_dans_le_cloud[[#This Row],[Coût (k€)]]*Methodogie_des_couts_Logiciels_dans_le_cloud[[#This Row],[Facteur d''émission (kgCO2e / k€)]]</f>
        <v>0</v>
      </c>
    </row>
    <row r="59" spans="2:8" ht="15" customHeight="1" x14ac:dyDescent="0.3">
      <c r="B59" s="155" t="s">
        <v>142</v>
      </c>
      <c r="C59" s="155"/>
      <c r="D59" s="210"/>
      <c r="E59" s="163"/>
      <c r="F59" s="157"/>
      <c r="G59" s="159">
        <f>'3.2 Facteurs d''émission'!$G$89</f>
        <v>75</v>
      </c>
      <c r="H59" s="159">
        <f>Methodogie_des_couts_Logiciels_dans_le_cloud[[#This Row],[Coût (k€)]]*Methodogie_des_couts_Logiciels_dans_le_cloud[[#This Row],[Facteur d''émission (kgCO2e / k€)]]</f>
        <v>0</v>
      </c>
    </row>
    <row r="60" spans="2:8" ht="15" customHeight="1" x14ac:dyDescent="0.3">
      <c r="B60" s="155" t="s">
        <v>143</v>
      </c>
      <c r="C60" s="155"/>
      <c r="D60" s="210"/>
      <c r="E60" s="163"/>
      <c r="F60" s="157"/>
      <c r="G60" s="159">
        <f>'3.2 Facteurs d''émission'!$G$89</f>
        <v>75</v>
      </c>
      <c r="H60" s="159">
        <f>Methodogie_des_couts_Logiciels_dans_le_cloud[[#This Row],[Coût (k€)]]*Methodogie_des_couts_Logiciels_dans_le_cloud[[#This Row],[Facteur d''émission (kgCO2e / k€)]]</f>
        <v>0</v>
      </c>
    </row>
    <row r="61" spans="2:8" ht="15" customHeight="1" x14ac:dyDescent="0.3">
      <c r="B61" s="155" t="s">
        <v>144</v>
      </c>
      <c r="C61" s="155"/>
      <c r="D61" s="210"/>
      <c r="E61" s="163"/>
      <c r="F61" s="157"/>
      <c r="G61" s="159">
        <f>'3.2 Facteurs d''émission'!$G$89</f>
        <v>75</v>
      </c>
      <c r="H61" s="159">
        <f>Methodogie_des_couts_Logiciels_dans_le_cloud[[#This Row],[Coût (k€)]]*Methodogie_des_couts_Logiciels_dans_le_cloud[[#This Row],[Facteur d''émission (kgCO2e / k€)]]</f>
        <v>0</v>
      </c>
    </row>
    <row r="1670" spans="12:12" ht="14" x14ac:dyDescent="0.3">
      <c r="L1670" s="3">
        <v>214.60473519892986</v>
      </c>
    </row>
    <row r="1671" spans="12:12" ht="14" x14ac:dyDescent="0.3">
      <c r="L1671" s="3">
        <v>238.80926206394952</v>
      </c>
    </row>
    <row r="1672" spans="12:12" ht="14" x14ac:dyDescent="0.3">
      <c r="L1672" s="3">
        <v>1040.3382150540961</v>
      </c>
    </row>
    <row r="1673" spans="12:12" ht="14" x14ac:dyDescent="0.3">
      <c r="L1673" s="3">
        <v>12.175446888544521</v>
      </c>
    </row>
    <row r="1674" spans="12:12" ht="14" x14ac:dyDescent="0.3">
      <c r="L1674" s="3">
        <v>187.87527536514079</v>
      </c>
    </row>
    <row r="1675" spans="12:12" ht="14" x14ac:dyDescent="0.3">
      <c r="L1675" s="3">
        <v>22.71769606159372</v>
      </c>
    </row>
    <row r="1676" spans="12:12" ht="14" x14ac:dyDescent="0.3">
      <c r="L1676" s="3">
        <v>177.6565177308766</v>
      </c>
    </row>
    <row r="1677" spans="12:12" ht="14" x14ac:dyDescent="0.3">
      <c r="L1677" s="3">
        <v>112.05156946226725</v>
      </c>
    </row>
    <row r="1678" spans="12:12" ht="14" x14ac:dyDescent="0.3">
      <c r="L1678" s="3">
        <v>29.118443355532335</v>
      </c>
    </row>
    <row r="1679" spans="12:12" ht="14" x14ac:dyDescent="0.3">
      <c r="L1679" s="3">
        <v>2623.6698285208963</v>
      </c>
    </row>
    <row r="1680" spans="12:12" ht="14" x14ac:dyDescent="0.3">
      <c r="L1680" s="3">
        <v>12.878143925104157</v>
      </c>
    </row>
    <row r="1681" spans="12:12" ht="14" x14ac:dyDescent="0.3">
      <c r="L1681" s="3">
        <v>118.33706295590434</v>
      </c>
    </row>
    <row r="1682" spans="12:12" ht="14" x14ac:dyDescent="0.3">
      <c r="L1682" s="3">
        <v>68.646007030188571</v>
      </c>
    </row>
    <row r="1683" spans="12:12" ht="14" x14ac:dyDescent="0.3">
      <c r="L1683" s="3">
        <v>7.375068922589664</v>
      </c>
    </row>
    <row r="1684" spans="12:12" ht="14" x14ac:dyDescent="0.3">
      <c r="L1684" s="3">
        <v>16.13738379045019</v>
      </c>
    </row>
    <row r="1685" spans="12:12" ht="14" x14ac:dyDescent="0.3">
      <c r="L1685" s="3">
        <v>28.226804705657848</v>
      </c>
    </row>
    <row r="1686" spans="12:12" ht="14" x14ac:dyDescent="0.3">
      <c r="L1686" s="3">
        <v>230.80125923509181</v>
      </c>
    </row>
    <row r="1687" spans="12:12" ht="14" x14ac:dyDescent="0.3">
      <c r="L1687" s="3">
        <v>112.47122409572134</v>
      </c>
    </row>
    <row r="1688" spans="12:12" ht="14" x14ac:dyDescent="0.3">
      <c r="L1688" s="3">
        <v>222.06597554920552</v>
      </c>
    </row>
    <row r="1689" spans="12:12" ht="14" x14ac:dyDescent="0.3">
      <c r="L1689" s="3">
        <v>47.797947281092384</v>
      </c>
    </row>
    <row r="1690" spans="12:12" ht="14" x14ac:dyDescent="0.3">
      <c r="L1690" s="3">
        <v>28.90690762868774</v>
      </c>
    </row>
    <row r="1691" spans="12:12" ht="14" x14ac:dyDescent="0.3">
      <c r="L1691" s="3">
        <v>288.4879209626551</v>
      </c>
    </row>
    <row r="1692" spans="12:12" ht="14" x14ac:dyDescent="0.3">
      <c r="L1692" s="3">
        <v>423.90612909457838</v>
      </c>
    </row>
    <row r="1693" spans="12:12" ht="14" x14ac:dyDescent="0.3">
      <c r="L1693" s="3">
        <v>28.723936396234897</v>
      </c>
    </row>
    <row r="1694" spans="12:12" ht="14" x14ac:dyDescent="0.3">
      <c r="L1694" s="3">
        <v>2244.0700965380238</v>
      </c>
    </row>
    <row r="1695" spans="12:12" ht="14" x14ac:dyDescent="0.3">
      <c r="L1695" s="3">
        <v>475.54130846624025</v>
      </c>
    </row>
    <row r="1696" spans="12:12" ht="14" x14ac:dyDescent="0.3">
      <c r="L1696" s="3">
        <v>167.0072217170914</v>
      </c>
    </row>
    <row r="1697" spans="12:12" ht="14" x14ac:dyDescent="0.3">
      <c r="L1697" s="3">
        <v>45.540678132730605</v>
      </c>
    </row>
    <row r="1698" spans="12:12" ht="14" x14ac:dyDescent="0.3">
      <c r="L1698" s="3">
        <v>1067.364548410003</v>
      </c>
    </row>
    <row r="1699" spans="12:12" ht="14" x14ac:dyDescent="0.3">
      <c r="L1699" s="3">
        <v>132.69841269841265</v>
      </c>
    </row>
    <row r="1700" spans="12:12" ht="14" x14ac:dyDescent="0.3">
      <c r="L1700" s="3">
        <v>78.797582944998993</v>
      </c>
    </row>
    <row r="1701" spans="12:12" ht="14" x14ac:dyDescent="0.3">
      <c r="L1701" s="3">
        <v>89.220257205690274</v>
      </c>
    </row>
    <row r="1702" spans="12:12" ht="14" x14ac:dyDescent="0.3">
      <c r="L1702" s="3">
        <v>3.5875793116479038</v>
      </c>
    </row>
    <row r="1703" spans="12:12" ht="14" x14ac:dyDescent="0.3">
      <c r="L1703" s="3">
        <v>96.585067428823209</v>
      </c>
    </row>
    <row r="1704" spans="12:12" ht="14" x14ac:dyDescent="0.3">
      <c r="L1704" s="3">
        <v>2895.8201130494576</v>
      </c>
    </row>
    <row r="1705" spans="12:12" ht="14" x14ac:dyDescent="0.3">
      <c r="L1705" s="3">
        <v>20.69368964924746</v>
      </c>
    </row>
    <row r="1706" spans="12:12" ht="14" x14ac:dyDescent="0.3">
      <c r="L1706" s="3">
        <v>284.60317460317469</v>
      </c>
    </row>
    <row r="1707" spans="12:12" ht="14" x14ac:dyDescent="0.3">
      <c r="L1707" s="3">
        <v>3.4920634920634921</v>
      </c>
    </row>
    <row r="1708" spans="12:12" ht="14" x14ac:dyDescent="0.3">
      <c r="L1708" s="3">
        <v>47.616955610606375</v>
      </c>
    </row>
    <row r="1709" spans="12:12" ht="14" x14ac:dyDescent="0.3">
      <c r="L1709" s="3">
        <v>60.71331727768974</v>
      </c>
    </row>
    <row r="1710" spans="12:12" ht="14" x14ac:dyDescent="0.3">
      <c r="L1710" s="3">
        <v>370.15873015873007</v>
      </c>
    </row>
    <row r="1711" spans="12:12" ht="14" x14ac:dyDescent="0.3">
      <c r="L1711" s="3">
        <v>0</v>
      </c>
    </row>
    <row r="1712" spans="12:12" ht="14" x14ac:dyDescent="0.3">
      <c r="L1712" s="3">
        <v>6.9841269841269842</v>
      </c>
    </row>
    <row r="1713" spans="12:12" ht="14" x14ac:dyDescent="0.3">
      <c r="L1713" s="3">
        <v>0</v>
      </c>
    </row>
    <row r="1714" spans="12:12" ht="14" x14ac:dyDescent="0.3">
      <c r="L1714" s="3">
        <v>4.3650793650793647</v>
      </c>
    </row>
    <row r="1715" spans="12:12" ht="14" x14ac:dyDescent="0.3">
      <c r="L1715" s="3">
        <v>96.126101641272854</v>
      </c>
    </row>
    <row r="1716" spans="12:12" ht="14" x14ac:dyDescent="0.3">
      <c r="L1716" s="3">
        <v>17.460317460317459</v>
      </c>
    </row>
    <row r="1717" spans="12:12" ht="14" x14ac:dyDescent="0.3">
      <c r="L1717" s="3">
        <v>55.873015873015873</v>
      </c>
    </row>
    <row r="1718" spans="12:12" ht="14" x14ac:dyDescent="0.3">
      <c r="L1718" s="3">
        <v>251.42857142857139</v>
      </c>
    </row>
    <row r="1719" spans="12:12" ht="14" x14ac:dyDescent="0.3">
      <c r="L1719" s="3">
        <v>6.9841269841269842</v>
      </c>
    </row>
    <row r="1720" spans="12:12" ht="14" x14ac:dyDescent="0.3">
      <c r="L1720" s="3">
        <v>3.4920634920634921</v>
      </c>
    </row>
    <row r="1721" spans="12:12" ht="14" x14ac:dyDescent="0.3">
      <c r="L1721" s="3">
        <v>41.904761904761898</v>
      </c>
    </row>
    <row r="1722" spans="12:12" ht="14" x14ac:dyDescent="0.3">
      <c r="L1722" s="3">
        <v>12.222222222222221</v>
      </c>
    </row>
    <row r="1723" spans="12:12" ht="14" x14ac:dyDescent="0.3">
      <c r="L1723" s="3">
        <v>670.47619047619025</v>
      </c>
    </row>
    <row r="1724" spans="12:12" ht="14" x14ac:dyDescent="0.3">
      <c r="L1724" s="3">
        <v>57.619047619047606</v>
      </c>
    </row>
    <row r="1725" spans="12:12" ht="14" x14ac:dyDescent="0.3">
      <c r="L1725" s="3">
        <v>4.3650793650793647</v>
      </c>
    </row>
    <row r="1726" spans="12:12" ht="14" x14ac:dyDescent="0.3">
      <c r="L1726" s="3">
        <v>111.74603174603175</v>
      </c>
    </row>
    <row r="1727" spans="12:12" ht="14" x14ac:dyDescent="0.3">
      <c r="L1727" s="3">
        <v>14.841269841269838</v>
      </c>
    </row>
    <row r="1728" spans="12:12" ht="14" x14ac:dyDescent="0.3">
      <c r="L1728" s="3">
        <v>20.952380952380949</v>
      </c>
    </row>
    <row r="1729" spans="12:12" ht="14" x14ac:dyDescent="0.3">
      <c r="L1729" s="3">
        <v>85.555555555555557</v>
      </c>
    </row>
    <row r="1730" spans="12:12" ht="14" x14ac:dyDescent="0.3">
      <c r="L1730" s="3">
        <v>10.476190476190474</v>
      </c>
    </row>
    <row r="1731" spans="12:12" ht="14" x14ac:dyDescent="0.3">
      <c r="L1731" s="3">
        <v>34.920634920634924</v>
      </c>
    </row>
    <row r="1732" spans="12:12" ht="14" x14ac:dyDescent="0.3">
      <c r="L1732" s="3">
        <v>13.968253968253968</v>
      </c>
    </row>
    <row r="1733" spans="12:12" ht="14" x14ac:dyDescent="0.3">
      <c r="L1733" s="3">
        <v>584.43476007848483</v>
      </c>
    </row>
    <row r="1734" spans="12:12" ht="14" x14ac:dyDescent="0.3">
      <c r="L1734" s="3">
        <v>11.349206349206348</v>
      </c>
    </row>
    <row r="1735" spans="12:12" ht="14" x14ac:dyDescent="0.3">
      <c r="L1735" s="3">
        <v>768.25396825396831</v>
      </c>
    </row>
    <row r="1736" spans="12:12" ht="14" x14ac:dyDescent="0.3">
      <c r="L1736" s="3">
        <v>1.746031746031746</v>
      </c>
    </row>
    <row r="1737" spans="12:12" ht="14" x14ac:dyDescent="0.3">
      <c r="L1737" s="3">
        <v>474.92063492063471</v>
      </c>
    </row>
    <row r="1738" spans="12:12" ht="14" x14ac:dyDescent="0.3">
      <c r="L1738" s="3">
        <v>62.857142857142847</v>
      </c>
    </row>
    <row r="1739" spans="12:12" ht="14" x14ac:dyDescent="0.3">
      <c r="L1739" s="3">
        <v>34.920634920634917</v>
      </c>
    </row>
    <row r="1740" spans="12:12" ht="14" x14ac:dyDescent="0.3">
      <c r="L1740" s="3">
        <v>20.952380952380949</v>
      </c>
    </row>
    <row r="1741" spans="12:12" ht="14" x14ac:dyDescent="0.3">
      <c r="L1741" s="3">
        <v>8.7301587301587293</v>
      </c>
    </row>
    <row r="1742" spans="12:12" ht="14" x14ac:dyDescent="0.3">
      <c r="L1742" s="3">
        <v>3.4920634920634921</v>
      </c>
    </row>
    <row r="1743" spans="12:12" ht="14" x14ac:dyDescent="0.3">
      <c r="L1743" s="3">
        <v>6.9841269841269842</v>
      </c>
    </row>
    <row r="1744" spans="12:12" ht="14" x14ac:dyDescent="0.3">
      <c r="L1744" s="3">
        <v>6.9841269841269842</v>
      </c>
    </row>
    <row r="1745" spans="12:12" ht="14" x14ac:dyDescent="0.3">
      <c r="L1745" s="3">
        <v>6.9841269841269842</v>
      </c>
    </row>
  </sheetData>
  <phoneticPr fontId="12" type="noConversion"/>
  <conditionalFormatting sqref="P15:P25">
    <cfRule type="cellIs" dxfId="11" priority="4" operator="equal">
      <formula>0</formula>
    </cfRule>
  </conditionalFormatting>
  <conditionalFormatting sqref="P36:P46">
    <cfRule type="cellIs" dxfId="10" priority="2" operator="equal">
      <formula>0</formula>
    </cfRule>
  </conditionalFormatting>
  <conditionalFormatting sqref="T15:V25">
    <cfRule type="cellIs" dxfId="9" priority="3" operator="equal">
      <formula>0</formula>
    </cfRule>
  </conditionalFormatting>
  <conditionalFormatting sqref="T36:V46">
    <cfRule type="cellIs" dxfId="8" priority="1" operator="equal">
      <formula>0</formula>
    </cfRule>
  </conditionalFormatting>
  <pageMargins left="0.7" right="0.7" top="0.75" bottom="0.75" header="0.3" footer="0.3"/>
  <drawing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4707E03-B371-41BC-AA70-E8D74AE2FBA5}">
          <x14:formula1>
            <xm:f>'3.1 Mix électrique'!$B$5:$B$142</xm:f>
          </x14:formula1>
          <xm:sqref>G15:G25 G36:G46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B3D60-FE25-450B-9B8C-F9E339C174BC}">
  <sheetPr>
    <tabColor theme="9" tint="0.79998168889431442"/>
  </sheetPr>
  <dimension ref="A2:K29"/>
  <sheetViews>
    <sheetView showGridLines="0" zoomScale="76" zoomScaleNormal="96" workbookViewId="0">
      <selection activeCell="B2" sqref="B2"/>
    </sheetView>
  </sheetViews>
  <sheetFormatPr baseColWidth="10" defaultColWidth="8.75" defaultRowHeight="14" x14ac:dyDescent="0.3"/>
  <cols>
    <col min="1" max="1" width="43.1640625" style="3" customWidth="1"/>
    <col min="2" max="2" width="32.25" style="3" customWidth="1"/>
    <col min="3" max="3" width="24.9140625" style="3" customWidth="1"/>
    <col min="4" max="4" width="27.1640625" style="3" customWidth="1"/>
    <col min="5" max="5" width="20.4140625" style="3" customWidth="1"/>
    <col min="6" max="6" width="27.9140625" style="3" customWidth="1"/>
    <col min="7" max="7" width="28.1640625" style="3" customWidth="1"/>
    <col min="8" max="8" width="34.33203125" style="3" customWidth="1"/>
    <col min="9" max="9" width="34.1640625" style="3" customWidth="1"/>
    <col min="10" max="10" width="34.4140625" style="3" customWidth="1"/>
    <col min="11" max="11" width="23.4140625" style="3" customWidth="1"/>
    <col min="12" max="12" width="27.1640625" style="3" customWidth="1"/>
    <col min="13" max="16384" width="8.75" style="3"/>
  </cols>
  <sheetData>
    <row r="2" spans="1:11" ht="15.5" x14ac:dyDescent="0.3">
      <c r="A2" s="138" t="s">
        <v>215</v>
      </c>
    </row>
    <row r="3" spans="1:11" ht="15.5" x14ac:dyDescent="0.3">
      <c r="B3" s="139" t="s">
        <v>216</v>
      </c>
    </row>
    <row r="4" spans="1:11" ht="42" x14ac:dyDescent="0.3">
      <c r="B4" s="147" t="s">
        <v>227</v>
      </c>
    </row>
    <row r="5" spans="1:11" ht="56" x14ac:dyDescent="0.3">
      <c r="B5" s="225" t="s">
        <v>228</v>
      </c>
    </row>
    <row r="6" spans="1:11" ht="42" x14ac:dyDescent="0.3">
      <c r="B6" s="228" t="s">
        <v>229</v>
      </c>
    </row>
    <row r="7" spans="1:11" ht="42" x14ac:dyDescent="0.3">
      <c r="B7" s="229" t="s">
        <v>230</v>
      </c>
    </row>
    <row r="8" spans="1:11" x14ac:dyDescent="0.3">
      <c r="B8" s="118" t="s">
        <v>225</v>
      </c>
    </row>
    <row r="12" spans="1:11" ht="22" customHeight="1" x14ac:dyDescent="0.3">
      <c r="A12" s="236" t="s">
        <v>646</v>
      </c>
    </row>
    <row r="13" spans="1:11" ht="45.5" customHeight="1" x14ac:dyDescent="0.3">
      <c r="B13" s="48" t="s">
        <v>602</v>
      </c>
      <c r="C13" s="48" t="s">
        <v>603</v>
      </c>
      <c r="D13" s="48" t="s">
        <v>145</v>
      </c>
      <c r="E13" s="48" t="s">
        <v>604</v>
      </c>
      <c r="F13" s="164" t="s">
        <v>605</v>
      </c>
      <c r="G13" s="165" t="s">
        <v>606</v>
      </c>
      <c r="H13" s="165" t="s">
        <v>581</v>
      </c>
      <c r="I13" s="166" t="s">
        <v>607</v>
      </c>
      <c r="J13" s="166" t="s">
        <v>608</v>
      </c>
      <c r="K13" s="48" t="s">
        <v>585</v>
      </c>
    </row>
    <row r="14" spans="1:11" x14ac:dyDescent="0.3">
      <c r="B14" s="175" t="s">
        <v>149</v>
      </c>
      <c r="C14" s="175"/>
      <c r="D14" s="215"/>
      <c r="E14" s="215"/>
      <c r="F14" s="213">
        <v>135</v>
      </c>
      <c r="G14" s="177"/>
      <c r="H14" s="178"/>
      <c r="I14" s="167">
        <f>'3.2 Facteurs d''émission'!$G$97</f>
        <v>4890.1800327587998</v>
      </c>
      <c r="J14" s="167">
        <f>'3.2 Facteurs d''émission'!$G$96</f>
        <v>35.523203526800309</v>
      </c>
      <c r="K14" s="168">
        <f>TM_Externes[[#This Row],[T&amp;M (en ETP)]]*TM_Externes[[#This Row],[Facteur d''émission de l''ETP (kgCO2e / unité)]]+TM_Externes[[#This Row],[Prix fixe (en k€)]]*TM_Externes[[#This Row],[Facteur d''émission des coûts (kgCO2e/k€)]]</f>
        <v>660174.30442243803</v>
      </c>
    </row>
    <row r="15" spans="1:11" x14ac:dyDescent="0.3">
      <c r="B15" s="175" t="s">
        <v>149</v>
      </c>
      <c r="C15" s="175"/>
      <c r="D15" s="215"/>
      <c r="E15" s="215"/>
      <c r="F15" s="213">
        <v>3</v>
      </c>
      <c r="G15" s="177"/>
      <c r="H15" s="178"/>
      <c r="I15" s="169">
        <f>'3.2 Facteurs d''émission'!$G$97</f>
        <v>4890.1800327587998</v>
      </c>
      <c r="J15" s="169">
        <f>'3.2 Facteurs d''émission'!$G$96</f>
        <v>35.523203526800309</v>
      </c>
      <c r="K15" s="170">
        <f>TM_Externes[[#This Row],[T&amp;M (en ETP)]]*TM_Externes[[#This Row],[Facteur d''émission de l''ETP (kgCO2e / unité)]]+TM_Externes[[#This Row],[Prix fixe (en k€)]]*TM_Externes[[#This Row],[Facteur d''émission des coûts (kgCO2e/k€)]]</f>
        <v>14670.5400982764</v>
      </c>
    </row>
    <row r="16" spans="1:11" x14ac:dyDescent="0.3">
      <c r="B16" s="175" t="s">
        <v>151</v>
      </c>
      <c r="C16" s="175"/>
      <c r="D16" s="215"/>
      <c r="E16" s="215"/>
      <c r="F16" s="213">
        <v>1</v>
      </c>
      <c r="G16" s="177"/>
      <c r="H16" s="178"/>
      <c r="I16" s="169">
        <f>'3.2 Facteurs d''émission'!$G$97</f>
        <v>4890.1800327587998</v>
      </c>
      <c r="J16" s="169">
        <f>'3.2 Facteurs d''émission'!$G$96</f>
        <v>35.523203526800309</v>
      </c>
      <c r="K16" s="170">
        <f>TM_Externes[[#This Row],[T&amp;M (en ETP)]]*TM_Externes[[#This Row],[Facteur d''émission de l''ETP (kgCO2e / unité)]]+TM_Externes[[#This Row],[Prix fixe (en k€)]]*TM_Externes[[#This Row],[Facteur d''émission des coûts (kgCO2e/k€)]]</f>
        <v>4890.1800327587998</v>
      </c>
    </row>
    <row r="17" spans="1:11" x14ac:dyDescent="0.3">
      <c r="B17" s="175" t="s">
        <v>152</v>
      </c>
      <c r="C17" s="175"/>
      <c r="D17" s="215"/>
      <c r="E17" s="215"/>
      <c r="F17" s="213">
        <v>2</v>
      </c>
      <c r="G17" s="177"/>
      <c r="H17" s="178"/>
      <c r="I17" s="169">
        <f>'3.2 Facteurs d''émission'!$G$97</f>
        <v>4890.1800327587998</v>
      </c>
      <c r="J17" s="169">
        <f>'3.2 Facteurs d''émission'!$G$96</f>
        <v>35.523203526800309</v>
      </c>
      <c r="K17" s="170">
        <f>TM_Externes[[#This Row],[T&amp;M (en ETP)]]*TM_Externes[[#This Row],[Facteur d''émission de l''ETP (kgCO2e / unité)]]+TM_Externes[[#This Row],[Prix fixe (en k€)]]*TM_Externes[[#This Row],[Facteur d''émission des coûts (kgCO2e/k€)]]</f>
        <v>9780.3600655175997</v>
      </c>
    </row>
    <row r="18" spans="1:11" x14ac:dyDescent="0.3">
      <c r="B18" s="175" t="s">
        <v>153</v>
      </c>
      <c r="C18" s="179"/>
      <c r="D18" s="216"/>
      <c r="E18" s="216"/>
      <c r="F18" s="214"/>
      <c r="G18" s="180">
        <v>865</v>
      </c>
      <c r="H18" s="181"/>
      <c r="I18" s="171">
        <f>'3.2 Facteurs d''émission'!$G$97</f>
        <v>4890.1800327587998</v>
      </c>
      <c r="J18" s="171">
        <f>'3.2 Facteurs d''émission'!$G$96</f>
        <v>35.523203526800309</v>
      </c>
      <c r="K18" s="172">
        <f>TM_Externes[[#This Row],[T&amp;M (en ETP)]]*TM_Externes[[#This Row],[Facteur d''émission de l''ETP (kgCO2e / unité)]]+TM_Externes[[#This Row],[Prix fixe (en k€)]]*TM_Externes[[#This Row],[Facteur d''émission des coûts (kgCO2e/k€)]]</f>
        <v>30727.571050682269</v>
      </c>
    </row>
    <row r="21" spans="1:11" s="33" customFormat="1" ht="14.5" x14ac:dyDescent="0.3">
      <c r="A21" s="24"/>
      <c r="B21" s="24"/>
      <c r="C21" s="24"/>
      <c r="D21" s="24"/>
      <c r="E21" s="24"/>
      <c r="F21" s="24"/>
      <c r="G21" s="24"/>
      <c r="H21" s="24"/>
      <c r="I21" s="24"/>
      <c r="J21" s="24"/>
      <c r="K21" s="24"/>
    </row>
    <row r="22" spans="1:11" ht="40" x14ac:dyDescent="0.3">
      <c r="A22" s="236" t="s">
        <v>601</v>
      </c>
    </row>
    <row r="23" spans="1:11" ht="39" customHeight="1" x14ac:dyDescent="0.3">
      <c r="A23" s="80"/>
    </row>
    <row r="24" spans="1:11" ht="39.5" customHeight="1" x14ac:dyDescent="0.3">
      <c r="B24" s="153" t="s">
        <v>602</v>
      </c>
      <c r="C24" s="153" t="s">
        <v>603</v>
      </c>
      <c r="D24" s="153" t="s">
        <v>145</v>
      </c>
      <c r="E24" s="153" t="s">
        <v>604</v>
      </c>
      <c r="F24" s="173" t="s">
        <v>606</v>
      </c>
      <c r="G24" s="174" t="s">
        <v>581</v>
      </c>
      <c r="H24" s="166" t="s">
        <v>608</v>
      </c>
      <c r="I24" s="48" t="s">
        <v>585</v>
      </c>
    </row>
    <row r="25" spans="1:11" ht="15.5" x14ac:dyDescent="0.3">
      <c r="A25" s="80"/>
      <c r="B25" s="182" t="s">
        <v>210</v>
      </c>
      <c r="C25" s="182"/>
      <c r="D25" s="217"/>
      <c r="E25" s="217"/>
      <c r="F25" s="182">
        <v>865</v>
      </c>
      <c r="G25" s="183"/>
      <c r="H25" s="167">
        <f>'3.2 Facteurs d''émission'!$G$96</f>
        <v>35.523203526800309</v>
      </c>
      <c r="I25" s="168">
        <f>Prix_fixes_externes[[#This Row],[Prix fixe (en k€)]]*Prix_fixes_externes[[#This Row],[Facteur d''émission des coûts (kgCO2e/k€)]]</f>
        <v>30727.571050682269</v>
      </c>
    </row>
    <row r="26" spans="1:11" x14ac:dyDescent="0.3">
      <c r="B26" s="182" t="s">
        <v>211</v>
      </c>
      <c r="C26" s="182"/>
      <c r="D26" s="217"/>
      <c r="E26" s="217"/>
      <c r="F26" s="182">
        <v>9</v>
      </c>
      <c r="G26" s="183"/>
      <c r="H26" s="169">
        <f>'3.2 Facteurs d''émission'!$G$96</f>
        <v>35.523203526800309</v>
      </c>
      <c r="I26" s="170">
        <f>Prix_fixes_externes[[#This Row],[Prix fixe (en k€)]]*Prix_fixes_externes[[#This Row],[Facteur d''émission des coûts (kgCO2e/k€)]]</f>
        <v>319.7088317412028</v>
      </c>
    </row>
    <row r="27" spans="1:11" x14ac:dyDescent="0.3">
      <c r="B27" s="182" t="s">
        <v>212</v>
      </c>
      <c r="C27" s="182"/>
      <c r="D27" s="217"/>
      <c r="E27" s="217"/>
      <c r="F27" s="182">
        <v>1</v>
      </c>
      <c r="G27" s="183"/>
      <c r="H27" s="169">
        <f>'3.2 Facteurs d''émission'!$G$96</f>
        <v>35.523203526800309</v>
      </c>
      <c r="I27" s="170">
        <f>Prix_fixes_externes[[#This Row],[Prix fixe (en k€)]]*Prix_fixes_externes[[#This Row],[Facteur d''émission des coûts (kgCO2e/k€)]]</f>
        <v>35.523203526800309</v>
      </c>
    </row>
    <row r="28" spans="1:11" x14ac:dyDescent="0.3">
      <c r="B28" s="182" t="s">
        <v>213</v>
      </c>
      <c r="C28" s="182"/>
      <c r="D28" s="217"/>
      <c r="E28" s="217"/>
      <c r="F28" s="182">
        <v>2</v>
      </c>
      <c r="G28" s="183"/>
      <c r="H28" s="169">
        <f>'3.2 Facteurs d''émission'!$G$96</f>
        <v>35.523203526800309</v>
      </c>
      <c r="I28" s="170">
        <f>Prix_fixes_externes[[#This Row],[Prix fixe (en k€)]]*Prix_fixes_externes[[#This Row],[Facteur d''émission des coûts (kgCO2e/k€)]]</f>
        <v>71.046407053600618</v>
      </c>
    </row>
    <row r="29" spans="1:11" x14ac:dyDescent="0.3">
      <c r="B29" s="182" t="s">
        <v>214</v>
      </c>
      <c r="C29" s="182"/>
      <c r="D29" s="217"/>
      <c r="E29" s="217"/>
      <c r="F29" s="182">
        <v>3</v>
      </c>
      <c r="G29" s="183"/>
      <c r="H29" s="171">
        <f>'3.2 Facteurs d''émission'!$G$96</f>
        <v>35.523203526800309</v>
      </c>
      <c r="I29" s="172">
        <f>Prix_fixes_externes[[#This Row],[Prix fixe (en k€)]]*Prix_fixes_externes[[#This Row],[Facteur d''émission des coûts (kgCO2e/k€)]]</f>
        <v>106.56961058040093</v>
      </c>
    </row>
  </sheetData>
  <phoneticPr fontId="12" type="noConversion"/>
  <pageMargins left="0.7" right="0.7" top="0.75" bottom="0.75" header="0.3" footer="0.3"/>
  <pageSetup paperSize="9"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0d65d9c-ae30-4b48-b655-4e95a52be98e">
      <Terms xmlns="http://schemas.microsoft.com/office/infopath/2007/PartnerControls"/>
    </lcf76f155ced4ddcb4097134ff3c332f>
    <TaxCatchAll xmlns="d9319686-8460-477c-a3da-d9a77963946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E9DCA8AEB6064FBA1009A5919D0128" ma:contentTypeVersion="13" ma:contentTypeDescription="Crée un document." ma:contentTypeScope="" ma:versionID="8a48ee38079b0b096d5a6a77a7c7e53d">
  <xsd:schema xmlns:xsd="http://www.w3.org/2001/XMLSchema" xmlns:xs="http://www.w3.org/2001/XMLSchema" xmlns:p="http://schemas.microsoft.com/office/2006/metadata/properties" xmlns:ns2="50d65d9c-ae30-4b48-b655-4e95a52be98e" xmlns:ns3="d9319686-8460-477c-a3da-d9a77963946b" targetNamespace="http://schemas.microsoft.com/office/2006/metadata/properties" ma:root="true" ma:fieldsID="3cc1c71b9eb46dde8633d72538b717e0" ns2:_="" ns3:_="">
    <xsd:import namespace="50d65d9c-ae30-4b48-b655-4e95a52be98e"/>
    <xsd:import namespace="d9319686-8460-477c-a3da-d9a77963946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d65d9c-ae30-4b48-b655-4e95a52be9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alises d’images" ma:readOnly="false" ma:fieldId="{5cf76f15-5ced-4ddc-b409-7134ff3c332f}" ma:taxonomyMulti="true" ma:sspId="e08dd3dd-18df-4dde-a300-66d8e4cb678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319686-8460-477c-a3da-d9a77963946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523445c-4bb8-403b-8ec4-595cc8e84097}" ma:internalName="TaxCatchAll" ma:showField="CatchAllData" ma:web="d9319686-8460-477c-a3da-d9a7796394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2236E-9D85-4BC0-AB32-C4E783C0E01D}">
  <ds:schemaRefs>
    <ds:schemaRef ds:uri="http://schemas.microsoft.com/sharepoint/v3/contenttype/forms"/>
  </ds:schemaRefs>
</ds:datastoreItem>
</file>

<file path=customXml/itemProps2.xml><?xml version="1.0" encoding="utf-8"?>
<ds:datastoreItem xmlns:ds="http://schemas.openxmlformats.org/officeDocument/2006/customXml" ds:itemID="{CE29379E-69A8-4CAA-A506-D3C9EFAD8EB2}">
  <ds:schemaRefs>
    <ds:schemaRef ds:uri="http://www.w3.org/XML/1998/namespace"/>
    <ds:schemaRef ds:uri="http://schemas.microsoft.com/office/2006/documentManagement/types"/>
    <ds:schemaRef ds:uri="http://purl.org/dc/elements/1.1/"/>
    <ds:schemaRef ds:uri="http://purl.org/dc/dcmitype/"/>
    <ds:schemaRef ds:uri="http://schemas.microsoft.com/office/2006/metadata/properties"/>
    <ds:schemaRef ds:uri="fc4d4d5d-ca7f-47e9-8117-d7ca6240a876"/>
    <ds:schemaRef ds:uri="http://purl.org/dc/terms/"/>
    <ds:schemaRef ds:uri="http://schemas.microsoft.com/sharepoint/v3"/>
    <ds:schemaRef ds:uri="http://schemas.openxmlformats.org/package/2006/metadata/core-properties"/>
    <ds:schemaRef ds:uri="2d6ff803-5b94-4665-a8f3-94779ee78a22"/>
    <ds:schemaRef ds:uri="http://schemas.microsoft.com/office/infopath/2007/PartnerControls"/>
  </ds:schemaRefs>
</ds:datastoreItem>
</file>

<file path=customXml/itemProps3.xml><?xml version="1.0" encoding="utf-8"?>
<ds:datastoreItem xmlns:ds="http://schemas.openxmlformats.org/officeDocument/2006/customXml" ds:itemID="{00D9E739-C495-40A1-B6B5-A5FB1F5D4E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41</vt:i4>
      </vt:variant>
    </vt:vector>
  </HeadingPairs>
  <TitlesOfParts>
    <vt:vector size="66" baseType="lpstr">
      <vt:lpstr>0.0 Présentation Méthodologie</vt:lpstr>
      <vt:lpstr>0.1 Référentiel</vt:lpstr>
      <vt:lpstr>0.2 LISEZ-MOI</vt:lpstr>
      <vt:lpstr>1.1 Localisation du personnel</vt:lpstr>
      <vt:lpstr>1.3 Dispositifs Cyber</vt:lpstr>
      <vt:lpstr>1.4 Réseau</vt:lpstr>
      <vt:lpstr>1.5 Serveurs de sauvegarde</vt:lpstr>
      <vt:lpstr>1.4 Infra des logiciels Cyber</vt:lpstr>
      <vt:lpstr>1.7 Services externes</vt:lpstr>
      <vt:lpstr>1.8 Voyages</vt:lpstr>
      <vt:lpstr>1.9 Équipements Non-cyber</vt:lpstr>
      <vt:lpstr>2.1 Cartographie dispositifs</vt:lpstr>
      <vt:lpstr>2.2 Cartographie réseau</vt:lpstr>
      <vt:lpstr>2.3 Carto serveurs sauvegarde</vt:lpstr>
      <vt:lpstr>2.4 Carto Infra logiciels Cyber</vt:lpstr>
      <vt:lpstr>2.5 Carto services externes</vt:lpstr>
      <vt:lpstr>2.6 Cartographie voyages</vt:lpstr>
      <vt:lpstr>2.7 Carto équipements Non Cyber</vt:lpstr>
      <vt:lpstr>3.1 Mix électrique</vt:lpstr>
      <vt:lpstr>3.2 Facteurs d'émission</vt:lpstr>
      <vt:lpstr>3.3 Hypothèses</vt:lpstr>
      <vt:lpstr>4.1 Tableau de bord NIST</vt:lpstr>
      <vt:lpstr>4.2 Tableau de bord Sujets</vt:lpstr>
      <vt:lpstr>4.3 Tableau de bord Catégories</vt:lpstr>
      <vt:lpstr>5.1 Plan d'action</vt:lpstr>
      <vt:lpstr>CI_Cyber_Staff</vt:lpstr>
      <vt:lpstr>'3.2 Facteurs d''émission'!FE_Data_Center</vt:lpstr>
      <vt:lpstr>'3.2 Facteurs d''émission'!FE_Ecrans_bureautiques</vt:lpstr>
      <vt:lpstr>'3.2 Facteurs d''émission'!FE_Firewalls</vt:lpstr>
      <vt:lpstr>'3.2 Facteurs d''émission'!FE_Ordinateurs_portables</vt:lpstr>
      <vt:lpstr>'3.2 Facteurs d''émission'!FE_Réseau</vt:lpstr>
      <vt:lpstr>'3.2 Facteurs d''émission'!FE_Serveurs</vt:lpstr>
      <vt:lpstr>'3.2 Facteurs d''émission'!FE_Tablettes</vt:lpstr>
      <vt:lpstr>'3.2 Facteurs d''émission'!FE_Téléphones</vt:lpstr>
      <vt:lpstr>'3.2 Facteurs d''émission'!FE_Wifi</vt:lpstr>
      <vt:lpstr>Intensité_Carbone_Personnel_du_groupe</vt:lpstr>
      <vt:lpstr>'2.5 Carto services externes'!Mapping_Apps_Controls</vt:lpstr>
      <vt:lpstr>Mapping_Apps_Controls</vt:lpstr>
      <vt:lpstr>'2.7 Carto équipements Non Cyber'!Scope2_Devices</vt:lpstr>
      <vt:lpstr>Scope2_Devices</vt:lpstr>
      <vt:lpstr>Scope2_External</vt:lpstr>
      <vt:lpstr>Scope2_Network</vt:lpstr>
      <vt:lpstr>Scope2_Non_Cyber</vt:lpstr>
      <vt:lpstr>Scope2_Servers</vt:lpstr>
      <vt:lpstr>Scope2_Solutions</vt:lpstr>
      <vt:lpstr>Scope2_Travel</vt:lpstr>
      <vt:lpstr>'2.7 Carto équipements Non Cyber'!Scope3_Devices</vt:lpstr>
      <vt:lpstr>Scope3_Devices</vt:lpstr>
      <vt:lpstr>Scope3_External</vt:lpstr>
      <vt:lpstr>Scope3_Network</vt:lpstr>
      <vt:lpstr>Scope3_Non_Cyber</vt:lpstr>
      <vt:lpstr>Scope3_Servers</vt:lpstr>
      <vt:lpstr>Scope3_Solutions</vt:lpstr>
      <vt:lpstr>Scope3_Travel</vt:lpstr>
      <vt:lpstr>Total</vt:lpstr>
      <vt:lpstr>'2.7 Carto équipements Non Cyber'!Total_Devices</vt:lpstr>
      <vt:lpstr>Total_Devices</vt:lpstr>
      <vt:lpstr>Total_External</vt:lpstr>
      <vt:lpstr>Total_External_Services</vt:lpstr>
      <vt:lpstr>Total_Network</vt:lpstr>
      <vt:lpstr>Total_Non_Cyber</vt:lpstr>
      <vt:lpstr>Total_Scope2</vt:lpstr>
      <vt:lpstr>Total_Scope3</vt:lpstr>
      <vt:lpstr>Total_Servers</vt:lpstr>
      <vt:lpstr>Total_Solutions</vt:lpstr>
      <vt:lpstr>Total_Travel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GRIPPAY-GONZALEZ Mario</dc:creator>
  <cp:keywords/>
  <dc:description/>
  <cp:lastModifiedBy>CHABRAN Marine</cp:lastModifiedBy>
  <cp:revision/>
  <dcterms:created xsi:type="dcterms:W3CDTF">2023-07-10T13:27:45Z</dcterms:created>
  <dcterms:modified xsi:type="dcterms:W3CDTF">2025-05-02T15:44:21Z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0x0101008EE9DCA8AEB6064FBA1009A5919D0128</vt:lpwstr>
  </property>
  <property fmtid="{D5CDD505-2E9C-101B-9397-08002B2CF9AE}" pid="3" name="TaxKeyword">
    <vt:lpwstr/>
  </property>
  <property fmtid="{D5CDD505-2E9C-101B-9397-08002B2CF9AE}" pid="4" name="WSDocumentType">
    <vt:lpwstr/>
  </property>
  <property fmtid="{D5CDD505-2E9C-101B-9397-08002B2CF9AE}" pid="5" name="MediaServiceImageTags">
    <vt:lpwstr/>
  </property>
</Properties>
</file>